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Mayer\Desktop\"/>
    </mc:Choice>
  </mc:AlternateContent>
  <bookViews>
    <workbookView xWindow="0" yWindow="0" windowWidth="25200" windowHeight="11985"/>
  </bookViews>
  <sheets>
    <sheet name="Configuration Comparison" sheetId="13" r:id="rId1"/>
    <sheet name="A4VSO 500 Eff" sheetId="2" r:id="rId2"/>
    <sheet name="A4VSO 750 Eff" sheetId="10" r:id="rId3"/>
    <sheet name="A4VSO 1000 Eff" sheetId="11" r:id="rId4"/>
    <sheet name="CBM4000 Eff" sheetId="6" r:id="rId5"/>
    <sheet name="CBM5000 Eff" sheetId="9" r:id="rId6"/>
    <sheet name="Hydraulic System 500kw PDC" sheetId="5" r:id="rId7"/>
    <sheet name="Hydraulic System 500kw Stall" sheetId="8" r:id="rId8"/>
    <sheet name="Efficiency Norm to Test " sheetId="14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4" l="1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3" i="14"/>
  <c r="C9" i="13" l="1"/>
  <c r="D9" i="13"/>
  <c r="E9" i="13"/>
  <c r="F9" i="13"/>
  <c r="M12" i="8"/>
  <c r="M13" i="8" s="1"/>
  <c r="M14" i="8" s="1"/>
  <c r="M15" i="8" s="1"/>
  <c r="M16" i="8" s="1"/>
  <c r="M17" i="8" s="1"/>
  <c r="M18" i="8" s="1"/>
  <c r="M19" i="8" s="1"/>
  <c r="M11" i="8"/>
  <c r="M10" i="8"/>
  <c r="M9" i="8"/>
  <c r="M8" i="8"/>
  <c r="M7" i="8"/>
  <c r="M6" i="8"/>
  <c r="M5" i="8"/>
  <c r="M4" i="8"/>
  <c r="M3" i="8"/>
  <c r="C13" i="5"/>
  <c r="D13" i="5"/>
  <c r="E13" i="5"/>
  <c r="F13" i="5"/>
  <c r="G13" i="5"/>
  <c r="G14" i="5" s="1"/>
  <c r="G15" i="5" s="1"/>
  <c r="G16" i="5" s="1"/>
  <c r="G17" i="5" s="1"/>
  <c r="G18" i="5" s="1"/>
  <c r="G19" i="5" s="1"/>
  <c r="H13" i="5"/>
  <c r="H14" i="5" s="1"/>
  <c r="H15" i="5" s="1"/>
  <c r="H16" i="5" s="1"/>
  <c r="H17" i="5" s="1"/>
  <c r="H18" i="5" s="1"/>
  <c r="H19" i="5" s="1"/>
  <c r="I13" i="5"/>
  <c r="I14" i="5" s="1"/>
  <c r="I15" i="5" s="1"/>
  <c r="I16" i="5" s="1"/>
  <c r="I17" i="5" s="1"/>
  <c r="I18" i="5" s="1"/>
  <c r="I19" i="5" s="1"/>
  <c r="J13" i="5"/>
  <c r="J14" i="5" s="1"/>
  <c r="J15" i="5" s="1"/>
  <c r="J16" i="5" s="1"/>
  <c r="J17" i="5" s="1"/>
  <c r="J18" i="5" s="1"/>
  <c r="J19" i="5" s="1"/>
  <c r="K13" i="5"/>
  <c r="C14" i="5"/>
  <c r="C15" i="5" s="1"/>
  <c r="C16" i="5" s="1"/>
  <c r="C17" i="5" s="1"/>
  <c r="C18" i="5" s="1"/>
  <c r="C19" i="5" s="1"/>
  <c r="D14" i="5"/>
  <c r="D15" i="5" s="1"/>
  <c r="D16" i="5" s="1"/>
  <c r="D17" i="5" s="1"/>
  <c r="D18" i="5" s="1"/>
  <c r="D19" i="5" s="1"/>
  <c r="E14" i="5"/>
  <c r="E15" i="5" s="1"/>
  <c r="E16" i="5" s="1"/>
  <c r="E17" i="5" s="1"/>
  <c r="E18" i="5" s="1"/>
  <c r="E19" i="5" s="1"/>
  <c r="F14" i="5"/>
  <c r="F15" i="5" s="1"/>
  <c r="F16" i="5" s="1"/>
  <c r="F17" i="5" s="1"/>
  <c r="F18" i="5" s="1"/>
  <c r="F19" i="5" s="1"/>
  <c r="K14" i="5"/>
  <c r="K15" i="5" s="1"/>
  <c r="K16" i="5" s="1"/>
  <c r="K17" i="5" s="1"/>
  <c r="K18" i="5" s="1"/>
  <c r="K19" i="5" s="1"/>
  <c r="D12" i="5"/>
  <c r="E12" i="5"/>
  <c r="F12" i="5"/>
  <c r="G12" i="5"/>
  <c r="H12" i="5"/>
  <c r="I12" i="5"/>
  <c r="J12" i="5"/>
  <c r="K12" i="5"/>
  <c r="C12" i="5"/>
  <c r="B13" i="5"/>
  <c r="B14" i="5"/>
  <c r="B15" i="5"/>
  <c r="B16" i="5"/>
  <c r="B17" i="5"/>
  <c r="B18" i="5"/>
  <c r="B19" i="5" s="1"/>
  <c r="B12" i="5"/>
  <c r="H7" i="11"/>
  <c r="T5" i="11" s="1"/>
  <c r="G7" i="11"/>
  <c r="S5" i="11" s="1"/>
  <c r="D7" i="11"/>
  <c r="T6" i="11" s="1"/>
  <c r="C7" i="11"/>
  <c r="V6" i="11"/>
  <c r="U6" i="11"/>
  <c r="S6" i="11"/>
  <c r="R6" i="11"/>
  <c r="V5" i="11"/>
  <c r="U5" i="11"/>
  <c r="R5" i="11"/>
  <c r="H7" i="10"/>
  <c r="T5" i="10" s="1"/>
  <c r="G7" i="10"/>
  <c r="S5" i="10" s="1"/>
  <c r="D7" i="10"/>
  <c r="T6" i="10" s="1"/>
  <c r="C7" i="10"/>
  <c r="S6" i="10" s="1"/>
  <c r="V6" i="10"/>
  <c r="U6" i="10"/>
  <c r="R6" i="10"/>
  <c r="V5" i="10"/>
  <c r="U5" i="10"/>
  <c r="R5" i="10"/>
  <c r="I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3" i="8"/>
  <c r="AH22" i="8"/>
  <c r="AH21" i="8"/>
  <c r="AF20" i="8"/>
  <c r="AF19" i="8"/>
  <c r="AF18" i="8"/>
  <c r="AF17" i="8"/>
  <c r="AA17" i="8"/>
  <c r="Y17" i="8"/>
  <c r="R10" i="8" s="1"/>
  <c r="X17" i="8"/>
  <c r="R2" i="8" s="1"/>
  <c r="AF16" i="8"/>
  <c r="AF15" i="8"/>
  <c r="Z15" i="8"/>
  <c r="AF14" i="8"/>
  <c r="Z14" i="8"/>
  <c r="AF13" i="8"/>
  <c r="Z13" i="8"/>
  <c r="Z12" i="8"/>
  <c r="Z11" i="8"/>
  <c r="Z17" i="8" s="1"/>
  <c r="AG10" i="8"/>
  <c r="AG22" i="8" s="1"/>
  <c r="AF22" i="8" s="1"/>
  <c r="Z10" i="8"/>
  <c r="AG9" i="8"/>
  <c r="AG21" i="8" s="1"/>
  <c r="AF21" i="8" s="1"/>
  <c r="Z9" i="8"/>
  <c r="AG8" i="8"/>
  <c r="Z8" i="8"/>
  <c r="AG7" i="8"/>
  <c r="Z7" i="8"/>
  <c r="AG6" i="8"/>
  <c r="Z6" i="8"/>
  <c r="AG5" i="8"/>
  <c r="Z5" i="8"/>
  <c r="AG4" i="8"/>
  <c r="AA4" i="8"/>
  <c r="Z4" i="8"/>
  <c r="B4" i="8"/>
  <c r="B5" i="8" s="1"/>
  <c r="AG3" i="8"/>
  <c r="Z3" i="8"/>
  <c r="F3" i="8"/>
  <c r="D3" i="8"/>
  <c r="G3" i="8" s="1"/>
  <c r="AG2" i="8"/>
  <c r="V7" i="11" l="1"/>
  <c r="M5" i="11"/>
  <c r="S7" i="11"/>
  <c r="T7" i="11"/>
  <c r="M6" i="11" s="1"/>
  <c r="M7" i="11" s="1"/>
  <c r="U7" i="11"/>
  <c r="V7" i="10"/>
  <c r="M5" i="10" s="1"/>
  <c r="U7" i="10"/>
  <c r="S7" i="10"/>
  <c r="T7" i="10"/>
  <c r="H3" i="8"/>
  <c r="F5" i="8"/>
  <c r="D5" i="8"/>
  <c r="B6" i="8"/>
  <c r="U3" i="8"/>
  <c r="F4" i="8"/>
  <c r="D4" i="8"/>
  <c r="M6" i="10" l="1"/>
  <c r="M7" i="10" s="1"/>
  <c r="C24" i="10" s="1"/>
  <c r="L6" i="11"/>
  <c r="L5" i="11"/>
  <c r="C30" i="11"/>
  <c r="C22" i="11"/>
  <c r="C14" i="11"/>
  <c r="C35" i="11"/>
  <c r="C27" i="11"/>
  <c r="C19" i="11"/>
  <c r="C32" i="11"/>
  <c r="C24" i="11"/>
  <c r="C16" i="11"/>
  <c r="C29" i="11"/>
  <c r="C21" i="11"/>
  <c r="C13" i="11"/>
  <c r="C34" i="11"/>
  <c r="C26" i="11"/>
  <c r="C18" i="11"/>
  <c r="C31" i="11"/>
  <c r="C23" i="11"/>
  <c r="C15" i="11"/>
  <c r="C28" i="11"/>
  <c r="C20" i="11"/>
  <c r="C12" i="11"/>
  <c r="C33" i="11"/>
  <c r="C25" i="11"/>
  <c r="C17" i="11"/>
  <c r="L6" i="10"/>
  <c r="L5" i="10"/>
  <c r="C15" i="10"/>
  <c r="B7" i="8"/>
  <c r="F6" i="8"/>
  <c r="D6" i="8"/>
  <c r="G5" i="8"/>
  <c r="H5" i="8" s="1"/>
  <c r="G4" i="8"/>
  <c r="H4" i="8" s="1"/>
  <c r="C20" i="10" l="1"/>
  <c r="C18" i="10"/>
  <c r="C14" i="10"/>
  <c r="C26" i="10"/>
  <c r="C22" i="10"/>
  <c r="C13" i="10"/>
  <c r="C34" i="10"/>
  <c r="C30" i="10"/>
  <c r="C25" i="10"/>
  <c r="C19" i="10"/>
  <c r="C21" i="10"/>
  <c r="C32" i="10"/>
  <c r="C23" i="10"/>
  <c r="C31" i="10"/>
  <c r="C33" i="10"/>
  <c r="C27" i="10"/>
  <c r="C29" i="10"/>
  <c r="C12" i="10"/>
  <c r="C35" i="10"/>
  <c r="C16" i="10"/>
  <c r="C28" i="10"/>
  <c r="C17" i="10"/>
  <c r="L7" i="11"/>
  <c r="B25" i="11" s="1"/>
  <c r="D25" i="11" s="1"/>
  <c r="B26" i="11"/>
  <c r="D26" i="11" s="1"/>
  <c r="B12" i="11"/>
  <c r="D12" i="11" s="1"/>
  <c r="B15" i="11"/>
  <c r="D15" i="11" s="1"/>
  <c r="L7" i="10"/>
  <c r="B33" i="10" s="1"/>
  <c r="G6" i="8"/>
  <c r="H6" i="8" s="1"/>
  <c r="B8" i="8"/>
  <c r="F7" i="8"/>
  <c r="D7" i="8"/>
  <c r="D33" i="10" l="1"/>
  <c r="B34" i="11"/>
  <c r="D34" i="11" s="1"/>
  <c r="B19" i="11"/>
  <c r="D19" i="11" s="1"/>
  <c r="B27" i="11"/>
  <c r="D27" i="11" s="1"/>
  <c r="B33" i="11"/>
  <c r="D33" i="11" s="1"/>
  <c r="B13" i="11"/>
  <c r="D13" i="11" s="1"/>
  <c r="B35" i="11"/>
  <c r="D35" i="11" s="1"/>
  <c r="B20" i="11"/>
  <c r="D20" i="11" s="1"/>
  <c r="B21" i="11"/>
  <c r="D21" i="11" s="1"/>
  <c r="B14" i="11"/>
  <c r="D14" i="11" s="1"/>
  <c r="B29" i="11"/>
  <c r="D29" i="11" s="1"/>
  <c r="B30" i="11"/>
  <c r="D30" i="11" s="1"/>
  <c r="B28" i="11"/>
  <c r="D28" i="11" s="1"/>
  <c r="B22" i="11"/>
  <c r="D22" i="11" s="1"/>
  <c r="B23" i="11"/>
  <c r="D23" i="11" s="1"/>
  <c r="B16" i="11"/>
  <c r="D16" i="11" s="1"/>
  <c r="B31" i="11"/>
  <c r="D31" i="11" s="1"/>
  <c r="B24" i="11"/>
  <c r="D24" i="11" s="1"/>
  <c r="B17" i="11"/>
  <c r="D17" i="11" s="1"/>
  <c r="B18" i="11"/>
  <c r="D18" i="11" s="1"/>
  <c r="B32" i="11"/>
  <c r="D32" i="11" s="1"/>
  <c r="B13" i="10"/>
  <c r="D13" i="10" s="1"/>
  <c r="B34" i="10"/>
  <c r="D34" i="10" s="1"/>
  <c r="B24" i="10"/>
  <c r="D24" i="10" s="1"/>
  <c r="B29" i="10"/>
  <c r="D29" i="10" s="1"/>
  <c r="B14" i="10"/>
  <c r="D14" i="10" s="1"/>
  <c r="J3" i="8" s="1"/>
  <c r="N3" i="8" s="1"/>
  <c r="B16" i="10"/>
  <c r="D16" i="10" s="1"/>
  <c r="J5" i="8" s="1"/>
  <c r="N5" i="8" s="1"/>
  <c r="B12" i="10"/>
  <c r="D12" i="10" s="1"/>
  <c r="B22" i="10"/>
  <c r="D22" i="10" s="1"/>
  <c r="J9" i="8" s="1"/>
  <c r="B19" i="10"/>
  <c r="D19" i="10" s="1"/>
  <c r="J7" i="8" s="1"/>
  <c r="B20" i="10"/>
  <c r="D20" i="10" s="1"/>
  <c r="J8" i="8" s="1"/>
  <c r="B30" i="10"/>
  <c r="D30" i="10" s="1"/>
  <c r="B27" i="10"/>
  <c r="D27" i="10" s="1"/>
  <c r="B23" i="10"/>
  <c r="D23" i="10" s="1"/>
  <c r="J10" i="8" s="1"/>
  <c r="B28" i="10"/>
  <c r="D28" i="10" s="1"/>
  <c r="B35" i="10"/>
  <c r="D35" i="10" s="1"/>
  <c r="B31" i="10"/>
  <c r="D31" i="10" s="1"/>
  <c r="B15" i="10"/>
  <c r="D15" i="10" s="1"/>
  <c r="J4" i="8" s="1"/>
  <c r="N4" i="8" s="1"/>
  <c r="B17" i="10"/>
  <c r="D17" i="10" s="1"/>
  <c r="J6" i="8" s="1"/>
  <c r="N6" i="8" s="1"/>
  <c r="B26" i="10"/>
  <c r="D26" i="10" s="1"/>
  <c r="B18" i="10"/>
  <c r="D18" i="10" s="1"/>
  <c r="B25" i="10"/>
  <c r="D25" i="10" s="1"/>
  <c r="J11" i="8" s="1"/>
  <c r="B32" i="10"/>
  <c r="D32" i="10" s="1"/>
  <c r="B21" i="10"/>
  <c r="D21" i="10" s="1"/>
  <c r="G7" i="8"/>
  <c r="H7" i="8" s="1"/>
  <c r="D8" i="8"/>
  <c r="B9" i="8"/>
  <c r="F8" i="8"/>
  <c r="N7" i="8" l="1"/>
  <c r="F9" i="8"/>
  <c r="B10" i="8"/>
  <c r="D9" i="8"/>
  <c r="G8" i="8"/>
  <c r="H8" i="8" s="1"/>
  <c r="N8" i="8" s="1"/>
  <c r="G9" i="8" l="1"/>
  <c r="H9" i="8" s="1"/>
  <c r="N9" i="8" s="1"/>
  <c r="F10" i="8"/>
  <c r="D10" i="8"/>
  <c r="B11" i="8"/>
  <c r="I4" i="5"/>
  <c r="I5" i="5"/>
  <c r="I6" i="5"/>
  <c r="I7" i="5"/>
  <c r="I8" i="5"/>
  <c r="I9" i="5"/>
  <c r="I10" i="5"/>
  <c r="I11" i="5"/>
  <c r="D9" i="6"/>
  <c r="D8" i="6" s="1"/>
  <c r="D7" i="6" s="1"/>
  <c r="D6" i="6" s="1"/>
  <c r="D5" i="6" s="1"/>
  <c r="D4" i="6" s="1"/>
  <c r="D3" i="6" s="1"/>
  <c r="D10" i="6"/>
  <c r="I3" i="5"/>
  <c r="Y17" i="5"/>
  <c r="R10" i="5" s="1"/>
  <c r="Z17" i="5"/>
  <c r="AA17" i="5"/>
  <c r="X17" i="5"/>
  <c r="R2" i="5" s="1"/>
  <c r="Z14" i="5"/>
  <c r="Z11" i="5"/>
  <c r="Z12" i="5"/>
  <c r="Z10" i="5"/>
  <c r="Z9" i="5"/>
  <c r="F11" i="8" l="1"/>
  <c r="U4" i="8" s="1"/>
  <c r="B12" i="8"/>
  <c r="D11" i="8"/>
  <c r="G10" i="8"/>
  <c r="H10" i="8" s="1"/>
  <c r="N10" i="8" s="1"/>
  <c r="G11" i="8" l="1"/>
  <c r="H11" i="8" s="1"/>
  <c r="N11" i="8" s="1"/>
  <c r="B13" i="8"/>
  <c r="F12" i="8"/>
  <c r="D12" i="8"/>
  <c r="G12" i="8" l="1"/>
  <c r="H12" i="8" s="1"/>
  <c r="J12" i="8" s="1"/>
  <c r="B14" i="8"/>
  <c r="F13" i="8"/>
  <c r="D13" i="8"/>
  <c r="N12" i="8"/>
  <c r="H7" i="2"/>
  <c r="T5" i="2" s="1"/>
  <c r="G7" i="2"/>
  <c r="S5" i="2" s="1"/>
  <c r="D7" i="2"/>
  <c r="C7" i="2"/>
  <c r="V6" i="2"/>
  <c r="U6" i="2"/>
  <c r="T6" i="2"/>
  <c r="S6" i="2"/>
  <c r="R6" i="2"/>
  <c r="V5" i="2"/>
  <c r="U5" i="2"/>
  <c r="R5" i="2"/>
  <c r="G13" i="8" l="1"/>
  <c r="H13" i="8" s="1"/>
  <c r="F14" i="8"/>
  <c r="B15" i="8"/>
  <c r="D14" i="8"/>
  <c r="V7" i="2"/>
  <c r="M5" i="2"/>
  <c r="S7" i="2"/>
  <c r="T7" i="2"/>
  <c r="M6" i="2" s="1"/>
  <c r="M7" i="2" s="1"/>
  <c r="U7" i="2"/>
  <c r="J13" i="8" l="1"/>
  <c r="N13" i="8" s="1"/>
  <c r="G14" i="8"/>
  <c r="H14" i="8" s="1"/>
  <c r="B16" i="8"/>
  <c r="F15" i="8"/>
  <c r="D15" i="8"/>
  <c r="C13" i="2"/>
  <c r="C17" i="2"/>
  <c r="C21" i="2"/>
  <c r="C25" i="2"/>
  <c r="C29" i="2"/>
  <c r="C33" i="2"/>
  <c r="C14" i="2"/>
  <c r="C18" i="2"/>
  <c r="C22" i="2"/>
  <c r="C26" i="2"/>
  <c r="C30" i="2"/>
  <c r="C34" i="2"/>
  <c r="C15" i="2"/>
  <c r="C19" i="2"/>
  <c r="C23" i="2"/>
  <c r="C27" i="2"/>
  <c r="C31" i="2"/>
  <c r="C35" i="2"/>
  <c r="C12" i="2"/>
  <c r="C16" i="2"/>
  <c r="C20" i="2"/>
  <c r="C24" i="2"/>
  <c r="C28" i="2"/>
  <c r="C32" i="2"/>
  <c r="L6" i="2"/>
  <c r="L5" i="2"/>
  <c r="D3" i="5"/>
  <c r="J14" i="8" l="1"/>
  <c r="N14" i="8" s="1"/>
  <c r="G15" i="8"/>
  <c r="H15" i="8" s="1"/>
  <c r="B17" i="8"/>
  <c r="F16" i="8"/>
  <c r="D16" i="8"/>
  <c r="B18" i="2"/>
  <c r="B22" i="2"/>
  <c r="B26" i="2"/>
  <c r="B30" i="2"/>
  <c r="B34" i="2"/>
  <c r="B15" i="2"/>
  <c r="B19" i="2"/>
  <c r="B27" i="2"/>
  <c r="B31" i="2"/>
  <c r="B35" i="2"/>
  <c r="B16" i="2"/>
  <c r="B20" i="2"/>
  <c r="B24" i="2"/>
  <c r="B28" i="2"/>
  <c r="B12" i="2"/>
  <c r="B13" i="2"/>
  <c r="B17" i="2"/>
  <c r="B21" i="2"/>
  <c r="B25" i="2"/>
  <c r="B29" i="2"/>
  <c r="B33" i="2"/>
  <c r="L7" i="2"/>
  <c r="B14" i="2" s="1"/>
  <c r="J15" i="8" l="1"/>
  <c r="N15" i="8" s="1"/>
  <c r="G16" i="8"/>
  <c r="H16" i="8" s="1"/>
  <c r="F17" i="8"/>
  <c r="D17" i="8"/>
  <c r="B18" i="8"/>
  <c r="B32" i="2"/>
  <c r="B23" i="2"/>
  <c r="AH22" i="5"/>
  <c r="AG22" i="5"/>
  <c r="AF22" i="5" s="1"/>
  <c r="AH21" i="5"/>
  <c r="AF20" i="5"/>
  <c r="AF19" i="5"/>
  <c r="AF18" i="5"/>
  <c r="AF17" i="5"/>
  <c r="AF16" i="5"/>
  <c r="AF15" i="5"/>
  <c r="AF14" i="5"/>
  <c r="AF13" i="5"/>
  <c r="Z15" i="5"/>
  <c r="AG10" i="5"/>
  <c r="Z13" i="5"/>
  <c r="AG9" i="5"/>
  <c r="AG21" i="5" s="1"/>
  <c r="AF21" i="5" s="1"/>
  <c r="Z8" i="5"/>
  <c r="AG8" i="5"/>
  <c r="Z7" i="5"/>
  <c r="AG7" i="5"/>
  <c r="Z6" i="5"/>
  <c r="AG6" i="5"/>
  <c r="Z5" i="5"/>
  <c r="AG5" i="5"/>
  <c r="AG4" i="5"/>
  <c r="AA4" i="5"/>
  <c r="Z4" i="5"/>
  <c r="B4" i="5"/>
  <c r="B5" i="5" s="1"/>
  <c r="D5" i="5" s="1"/>
  <c r="AG3" i="5"/>
  <c r="Z3" i="5"/>
  <c r="F3" i="5"/>
  <c r="U3" i="5" s="1"/>
  <c r="AG2" i="5"/>
  <c r="J16" i="8" l="1"/>
  <c r="N16" i="8" s="1"/>
  <c r="G17" i="8"/>
  <c r="H17" i="8" s="1"/>
  <c r="B19" i="8"/>
  <c r="F18" i="8"/>
  <c r="G18" i="8" s="1"/>
  <c r="D18" i="8"/>
  <c r="G3" i="5"/>
  <c r="H3" i="5" s="1"/>
  <c r="F5" i="5"/>
  <c r="G5" i="5" s="1"/>
  <c r="H5" i="5" s="1"/>
  <c r="D4" i="5"/>
  <c r="F4" i="5"/>
  <c r="B6" i="5"/>
  <c r="D6" i="5" s="1"/>
  <c r="J17" i="8" l="1"/>
  <c r="N17" i="8" s="1"/>
  <c r="H18" i="8"/>
  <c r="F19" i="8"/>
  <c r="D19" i="8"/>
  <c r="F6" i="5"/>
  <c r="B7" i="5"/>
  <c r="G4" i="5"/>
  <c r="H4" i="5" s="1"/>
  <c r="J18" i="8" l="1"/>
  <c r="N18" i="8" s="1"/>
  <c r="G19" i="8"/>
  <c r="H19" i="8" s="1"/>
  <c r="B8" i="5"/>
  <c r="F7" i="5"/>
  <c r="D7" i="5"/>
  <c r="G6" i="5"/>
  <c r="H6" i="5" s="1"/>
  <c r="J19" i="8" l="1"/>
  <c r="N19" i="8" s="1"/>
  <c r="G7" i="5"/>
  <c r="H7" i="5" s="1"/>
  <c r="D8" i="5"/>
  <c r="F8" i="5"/>
  <c r="B9" i="5"/>
  <c r="G8" i="5" l="1"/>
  <c r="H8" i="5" s="1"/>
  <c r="F9" i="5"/>
  <c r="D9" i="5"/>
  <c r="B10" i="5"/>
  <c r="D10" i="5" l="1"/>
  <c r="B11" i="5"/>
  <c r="F10" i="5"/>
  <c r="G9" i="5"/>
  <c r="H9" i="5" s="1"/>
  <c r="G10" i="5" l="1"/>
  <c r="H10" i="5" s="1"/>
  <c r="D11" i="5"/>
  <c r="F11" i="5"/>
  <c r="U4" i="5" s="1"/>
  <c r="G11" i="5" l="1"/>
  <c r="H11" i="5" s="1"/>
  <c r="D35" i="2" l="1"/>
  <c r="D26" i="2"/>
  <c r="D32" i="2"/>
  <c r="D19" i="2"/>
  <c r="D21" i="2" l="1"/>
  <c r="D12" i="2"/>
  <c r="D23" i="2"/>
  <c r="D34" i="2"/>
  <c r="D20" i="2"/>
  <c r="D18" i="2"/>
  <c r="J9" i="5" s="1"/>
  <c r="D25" i="2"/>
  <c r="J10" i="5" s="1"/>
  <c r="M10" i="5" s="1"/>
  <c r="N10" i="5" s="1"/>
  <c r="D24" i="2"/>
  <c r="D13" i="2"/>
  <c r="D28" i="2"/>
  <c r="D27" i="2"/>
  <c r="D16" i="2"/>
  <c r="J8" i="5" s="1"/>
  <c r="D31" i="2"/>
  <c r="D17" i="2"/>
  <c r="D30" i="2"/>
  <c r="D29" i="2"/>
  <c r="D22" i="2"/>
  <c r="D15" i="2"/>
  <c r="J7" i="5" s="1"/>
  <c r="D33" i="2"/>
  <c r="D14" i="2"/>
  <c r="J3" i="5" l="1"/>
  <c r="M3" i="5" s="1"/>
  <c r="N3" i="5" s="1"/>
  <c r="J11" i="5"/>
  <c r="M11" i="5" s="1"/>
  <c r="J4" i="5"/>
  <c r="M4" i="5" s="1"/>
  <c r="N4" i="5" s="1"/>
  <c r="M9" i="5"/>
  <c r="N9" i="5" s="1"/>
  <c r="M7" i="5"/>
  <c r="N7" i="5" s="1"/>
  <c r="M8" i="5"/>
  <c r="N8" i="5" s="1"/>
  <c r="J5" i="5"/>
  <c r="J6" i="5"/>
  <c r="N11" i="5" l="1"/>
  <c r="N12" i="5" s="1"/>
  <c r="N13" i="5" s="1"/>
  <c r="N14" i="5" s="1"/>
  <c r="N15" i="5" s="1"/>
  <c r="N16" i="5" s="1"/>
  <c r="N17" i="5" s="1"/>
  <c r="N18" i="5" s="1"/>
  <c r="N19" i="5" s="1"/>
  <c r="M12" i="5"/>
  <c r="M13" i="5" s="1"/>
  <c r="M14" i="5" s="1"/>
  <c r="M15" i="5" s="1"/>
  <c r="M16" i="5" s="1"/>
  <c r="M17" i="5" s="1"/>
  <c r="M18" i="5" s="1"/>
  <c r="M19" i="5" s="1"/>
  <c r="M6" i="5"/>
  <c r="N6" i="5" s="1"/>
  <c r="M5" i="5"/>
  <c r="N5" i="5" s="1"/>
</calcChain>
</file>

<file path=xl/comments1.xml><?xml version="1.0" encoding="utf-8"?>
<comments xmlns="http://schemas.openxmlformats.org/spreadsheetml/2006/main">
  <authors>
    <author>TMayer</author>
  </authors>
  <commentList>
    <comment ref="AE21" authorId="0" shapeId="0">
      <text>
        <r>
          <rPr>
            <b/>
            <sz val="9"/>
            <color indexed="81"/>
            <rFont val="Tahoma"/>
            <family val="2"/>
          </rPr>
          <t>TMayer:</t>
        </r>
        <r>
          <rPr>
            <sz val="9"/>
            <color indexed="81"/>
            <rFont val="Tahoma"/>
            <family val="2"/>
          </rPr>
          <t xml:space="preserve">
Don’t Technically Exist</t>
        </r>
      </text>
    </comment>
  </commentList>
</comments>
</file>

<file path=xl/comments2.xml><?xml version="1.0" encoding="utf-8"?>
<comments xmlns="http://schemas.openxmlformats.org/spreadsheetml/2006/main">
  <authors>
    <author>TMayer</author>
  </authors>
  <commentList>
    <comment ref="AE21" authorId="0" shapeId="0">
      <text>
        <r>
          <rPr>
            <b/>
            <sz val="9"/>
            <color indexed="81"/>
            <rFont val="Tahoma"/>
            <family val="2"/>
          </rPr>
          <t>TMayer:</t>
        </r>
        <r>
          <rPr>
            <sz val="9"/>
            <color indexed="81"/>
            <rFont val="Tahoma"/>
            <family val="2"/>
          </rPr>
          <t xml:space="preserve">
Don’t Technically Exist</t>
        </r>
      </text>
    </comment>
  </commentList>
</comments>
</file>

<file path=xl/sharedStrings.xml><?xml version="1.0" encoding="utf-8"?>
<sst xmlns="http://schemas.openxmlformats.org/spreadsheetml/2006/main" count="418" uniqueCount="124">
  <si>
    <t>qv</t>
  </si>
  <si>
    <t>eff total</t>
  </si>
  <si>
    <t>Data from Chart</t>
  </si>
  <si>
    <t>P</t>
  </si>
  <si>
    <t>PqvMax</t>
  </si>
  <si>
    <t>A4VS0 - 500</t>
  </si>
  <si>
    <t>State</t>
  </si>
  <si>
    <t>Flow Speed</t>
  </si>
  <si>
    <t>Cp</t>
  </si>
  <si>
    <t>Input Power</t>
  </si>
  <si>
    <t>TSR</t>
  </si>
  <si>
    <t>Input Speed</t>
  </si>
  <si>
    <t>Input Torque</t>
  </si>
  <si>
    <t>Variable Disp</t>
  </si>
  <si>
    <t>System Pressure</t>
  </si>
  <si>
    <t>Power Output</t>
  </si>
  <si>
    <t># pumps/motors</t>
  </si>
  <si>
    <t>Model</t>
  </si>
  <si>
    <t>Number</t>
  </si>
  <si>
    <t>Displacment</t>
  </si>
  <si>
    <t>Specific Torque</t>
  </si>
  <si>
    <t>Op Torque</t>
  </si>
  <si>
    <t>Weight</t>
  </si>
  <si>
    <t>Estimated Cost</t>
  </si>
  <si>
    <t>Motor</t>
  </si>
  <si>
    <t xml:space="preserve">Torque @ 210 </t>
  </si>
  <si>
    <t>Max Torque</t>
  </si>
  <si>
    <t>Rotor Speed</t>
  </si>
  <si>
    <t>m/s</t>
  </si>
  <si>
    <t>-</t>
  </si>
  <si>
    <t>kW</t>
  </si>
  <si>
    <t>*</t>
  </si>
  <si>
    <t>rpm</t>
  </si>
  <si>
    <t>kNm</t>
  </si>
  <si>
    <t>RPM</t>
  </si>
  <si>
    <t>cc/Rev</t>
  </si>
  <si>
    <t>Input Pump</t>
  </si>
  <si>
    <t>cc/rev</t>
  </si>
  <si>
    <t>kNm/bar</t>
  </si>
  <si>
    <t>kg</t>
  </si>
  <si>
    <t>$</t>
  </si>
  <si>
    <t>A4VSO</t>
  </si>
  <si>
    <t>kN*m</t>
  </si>
  <si>
    <t>Cut In</t>
  </si>
  <si>
    <t>Fixed Motor</t>
  </si>
  <si>
    <t>CBP</t>
  </si>
  <si>
    <t>Normal</t>
  </si>
  <si>
    <t>Variable Motor</t>
  </si>
  <si>
    <t>840+280</t>
  </si>
  <si>
    <t>Rated Power</t>
  </si>
  <si>
    <t>Rated Speed</t>
  </si>
  <si>
    <t>CBM</t>
  </si>
  <si>
    <t>2000-1200</t>
  </si>
  <si>
    <t>Design TSR</t>
  </si>
  <si>
    <t>Rotor Diamter</t>
  </si>
  <si>
    <t>m</t>
  </si>
  <si>
    <t>Rated Current</t>
  </si>
  <si>
    <t xml:space="preserve">Specific Torque </t>
  </si>
  <si>
    <t>Nm/bar</t>
  </si>
  <si>
    <t>Mech Eff</t>
  </si>
  <si>
    <t>Stall</t>
  </si>
  <si>
    <t>Charge P</t>
  </si>
  <si>
    <t>Fixed Disp</t>
  </si>
  <si>
    <t>A4FO</t>
  </si>
  <si>
    <t xml:space="preserve">Density </t>
  </si>
  <si>
    <t>(kg/m^3)</t>
  </si>
  <si>
    <t>Efficiency</t>
  </si>
  <si>
    <t>A4VSO Efficency</t>
  </si>
  <si>
    <t>Total Efficency</t>
  </si>
  <si>
    <t>Eff%</t>
  </si>
  <si>
    <t>Rated</t>
  </si>
  <si>
    <t>CBM 4000 Efficency</t>
  </si>
  <si>
    <t>Line Losses</t>
  </si>
  <si>
    <t>Generator Efficency</t>
  </si>
  <si>
    <t>n</t>
  </si>
  <si>
    <t>N</t>
  </si>
  <si>
    <t>Slope qv</t>
  </si>
  <si>
    <t>SlopePqvmax</t>
  </si>
  <si>
    <t>offset qv</t>
  </si>
  <si>
    <t>offset pqvmax</t>
  </si>
  <si>
    <t>Rotor Torque</t>
  </si>
  <si>
    <t>bar</t>
  </si>
  <si>
    <t>4000-3200</t>
  </si>
  <si>
    <t>4000-3600</t>
  </si>
  <si>
    <t>5000-4600</t>
  </si>
  <si>
    <t>4000-3400</t>
  </si>
  <si>
    <t>4000-3800</t>
  </si>
  <si>
    <t>AVSO</t>
  </si>
  <si>
    <t>Data at Speed</t>
  </si>
  <si>
    <t>Slope</t>
  </si>
  <si>
    <t>%</t>
  </si>
  <si>
    <t>CBM 5000 Efficency</t>
  </si>
  <si>
    <t>A4 750 Efficency</t>
  </si>
  <si>
    <t>A4VS0 - 750</t>
  </si>
  <si>
    <t>500kW Stall</t>
  </si>
  <si>
    <t>500kW PDC</t>
  </si>
  <si>
    <t>Main Pump</t>
  </si>
  <si>
    <t>Fixed Motors</t>
  </si>
  <si>
    <t>Variable Motors</t>
  </si>
  <si>
    <t>A4FO 355</t>
  </si>
  <si>
    <t>A4VSO 500</t>
  </si>
  <si>
    <t>A4FO 500</t>
  </si>
  <si>
    <t>A4VSO 750</t>
  </si>
  <si>
    <t>CBM 4000-3600</t>
  </si>
  <si>
    <t>CBM 5000-4600</t>
  </si>
  <si>
    <t>Nominal Pressure</t>
  </si>
  <si>
    <t>System Life L10</t>
  </si>
  <si>
    <t>System Cost</t>
  </si>
  <si>
    <t>System AEP</t>
  </si>
  <si>
    <t>#</t>
  </si>
  <si>
    <t>yr</t>
  </si>
  <si>
    <t>MWhr/yr</t>
  </si>
  <si>
    <t>500kW PDC Low Pressure</t>
  </si>
  <si>
    <t>10+</t>
  </si>
  <si>
    <t>Assumptions</t>
  </si>
  <si>
    <t xml:space="preserve">Variable A4 motor efficency does not account for swivel angle losses. </t>
  </si>
  <si>
    <t>Gearbox System</t>
  </si>
  <si>
    <t>$$</t>
  </si>
  <si>
    <t>$$$</t>
  </si>
  <si>
    <t>HST Efficiency</t>
  </si>
  <si>
    <t>Pitch Calc</t>
  </si>
  <si>
    <t>Swivel Losses</t>
  </si>
  <si>
    <t>*does not include losses due to swivel angle of motor</t>
  </si>
  <si>
    <t>AEP Loss/ Gain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</si>
</sst>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7">
    <xf numFmtId="0" fontId="0" fillId="0" borderId="0" xfId="0"/>
    <xf numFmtId="9" fontId="0" fillId="0" borderId="0" xfId="1" applyFont="1"/>
    <xf numFmtId="9" fontId="0" fillId="0" borderId="0" xfId="1" applyNumberFormat="1" applyFo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0" fillId="2" borderId="0" xfId="0" applyFill="1"/>
    <xf numFmtId="1" fontId="0" fillId="2" borderId="0" xfId="0" applyNumberFormat="1" applyFill="1"/>
    <xf numFmtId="1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" fillId="0" borderId="0" xfId="0" applyFont="1"/>
    <xf numFmtId="0" fontId="4" fillId="0" borderId="9" xfId="0" applyFont="1" applyBorder="1"/>
    <xf numFmtId="0" fontId="4" fillId="0" borderId="10" xfId="0" applyFont="1" applyBorder="1"/>
    <xf numFmtId="2" fontId="4" fillId="0" borderId="10" xfId="0" applyNumberFormat="1" applyFont="1" applyBorder="1"/>
    <xf numFmtId="164" fontId="4" fillId="0" borderId="10" xfId="0" applyNumberFormat="1" applyFont="1" applyBorder="1"/>
    <xf numFmtId="9" fontId="4" fillId="0" borderId="10" xfId="1" applyFont="1" applyBorder="1"/>
    <xf numFmtId="2" fontId="4" fillId="0" borderId="11" xfId="0" applyNumberFormat="1" applyFont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0" xfId="0" applyFill="1" applyBorder="1"/>
    <xf numFmtId="2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2" fontId="0" fillId="3" borderId="0" xfId="0" applyNumberFormat="1" applyFill="1" applyAlignment="1">
      <alignment horizontal="center"/>
    </xf>
    <xf numFmtId="165" fontId="0" fillId="0" borderId="0" xfId="1" applyNumberFormat="1" applyFont="1"/>
    <xf numFmtId="165" fontId="4" fillId="0" borderId="10" xfId="1" applyNumberFormat="1" applyFont="1" applyBorder="1"/>
    <xf numFmtId="9" fontId="4" fillId="0" borderId="10" xfId="1" applyNumberFormat="1" applyFont="1" applyBorder="1"/>
    <xf numFmtId="0" fontId="0" fillId="3" borderId="5" xfId="0" applyFill="1" applyBorder="1" applyAlignment="1">
      <alignment horizontal="center"/>
    </xf>
    <xf numFmtId="0" fontId="4" fillId="0" borderId="0" xfId="0" applyFont="1" applyAlignment="1">
      <alignment horizontal="center"/>
    </xf>
    <xf numFmtId="9" fontId="0" fillId="0" borderId="0" xfId="1" applyFont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500 kW Stall Vs</a:t>
            </a:r>
            <a:r>
              <a:rPr lang="en-US" baseline="0"/>
              <a:t> Pitch Efficency Comparison </a:t>
            </a:r>
            <a:endParaRPr lang="en-US"/>
          </a:p>
        </c:rich>
      </c:tx>
      <c:layout>
        <c:manualLayout>
          <c:xMode val="edge"/>
          <c:yMode val="edge"/>
          <c:x val="0.24702664392470228"/>
          <c:y val="3.23758687467437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33478975365468"/>
          <c:y val="0.12308626174373533"/>
          <c:w val="0.8308527457806647"/>
          <c:h val="0.7733757999351205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'Hydraulic System 500kw PDC'!$M$1:$M$2</c:f>
              <c:strCache>
                <c:ptCount val="2"/>
                <c:pt idx="0">
                  <c:v>Total Efficency</c:v>
                </c:pt>
                <c:pt idx="1">
                  <c:v>%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'Hydraulic System 500kw PDC'!$B$3:$B$19</c:f>
              <c:numCache>
                <c:formatCode>General</c:formatCode>
                <c:ptCount val="17"/>
                <c:pt idx="0">
                  <c:v>0.8</c:v>
                </c:pt>
                <c:pt idx="1">
                  <c:v>0.9</c:v>
                </c:pt>
                <c:pt idx="2">
                  <c:v>1</c:v>
                </c:pt>
                <c:pt idx="3">
                  <c:v>1.1000000000000001</c:v>
                </c:pt>
                <c:pt idx="4">
                  <c:v>1.2000000000000002</c:v>
                </c:pt>
                <c:pt idx="5">
                  <c:v>1.3000000000000003</c:v>
                </c:pt>
                <c:pt idx="6">
                  <c:v>1.4000000000000004</c:v>
                </c:pt>
                <c:pt idx="7">
                  <c:v>1.5000000000000004</c:v>
                </c:pt>
                <c:pt idx="8">
                  <c:v>1.6000000000000005</c:v>
                </c:pt>
                <c:pt idx="9">
                  <c:v>1.7000000000000006</c:v>
                </c:pt>
                <c:pt idx="10">
                  <c:v>1.8000000000000007</c:v>
                </c:pt>
                <c:pt idx="11">
                  <c:v>1.9000000000000008</c:v>
                </c:pt>
                <c:pt idx="12">
                  <c:v>2.0000000000000009</c:v>
                </c:pt>
                <c:pt idx="13">
                  <c:v>2.100000000000001</c:v>
                </c:pt>
                <c:pt idx="14">
                  <c:v>2.2000000000000011</c:v>
                </c:pt>
                <c:pt idx="15">
                  <c:v>2.3000000000000012</c:v>
                </c:pt>
                <c:pt idx="16">
                  <c:v>2.4000000000000012</c:v>
                </c:pt>
              </c:numCache>
            </c:numRef>
          </c:xVal>
          <c:yVal>
            <c:numRef>
              <c:f>'Hydraulic System 500kw PDC'!$M$3:$M$19</c:f>
              <c:numCache>
                <c:formatCode>0%</c:formatCode>
                <c:ptCount val="17"/>
                <c:pt idx="0">
                  <c:v>0.69585541967213094</c:v>
                </c:pt>
                <c:pt idx="1">
                  <c:v>0.72250214624999998</c:v>
                </c:pt>
                <c:pt idx="2">
                  <c:v>0.7581207923946186</c:v>
                </c:pt>
                <c:pt idx="3">
                  <c:v>0.77047044670588249</c:v>
                </c:pt>
                <c:pt idx="4">
                  <c:v>0.78860654444974443</c:v>
                </c:pt>
                <c:pt idx="5">
                  <c:v>0.80101902938325997</c:v>
                </c:pt>
                <c:pt idx="6">
                  <c:v>0.80894632180645165</c:v>
                </c:pt>
                <c:pt idx="7">
                  <c:v>0.81440171293670882</c:v>
                </c:pt>
                <c:pt idx="8">
                  <c:v>0.81811063914018678</c:v>
                </c:pt>
                <c:pt idx="9">
                  <c:v>0.81811063914018678</c:v>
                </c:pt>
                <c:pt idx="10">
                  <c:v>0.81811063914018678</c:v>
                </c:pt>
                <c:pt idx="11">
                  <c:v>0.81811063914018678</c:v>
                </c:pt>
                <c:pt idx="12">
                  <c:v>0.81811063914018678</c:v>
                </c:pt>
                <c:pt idx="13">
                  <c:v>0.81811063914018678</c:v>
                </c:pt>
                <c:pt idx="14">
                  <c:v>0.81811063914018678</c:v>
                </c:pt>
                <c:pt idx="15">
                  <c:v>0.81811063914018678</c:v>
                </c:pt>
                <c:pt idx="16">
                  <c:v>0.81811063914018678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'Hydraulic System 500kw Stall'!$M$1:$M$2</c:f>
              <c:strCache>
                <c:ptCount val="2"/>
                <c:pt idx="0">
                  <c:v>Total Efficency</c:v>
                </c:pt>
                <c:pt idx="1">
                  <c:v>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'Hydraulic System 500kw Stall'!$B$3:$B$19</c:f>
              <c:numCache>
                <c:formatCode>General</c:formatCode>
                <c:ptCount val="17"/>
                <c:pt idx="0">
                  <c:v>0.8</c:v>
                </c:pt>
                <c:pt idx="1">
                  <c:v>0.9</c:v>
                </c:pt>
                <c:pt idx="2">
                  <c:v>1</c:v>
                </c:pt>
                <c:pt idx="3">
                  <c:v>1.1000000000000001</c:v>
                </c:pt>
                <c:pt idx="4">
                  <c:v>1.2000000000000002</c:v>
                </c:pt>
                <c:pt idx="5">
                  <c:v>1.3000000000000003</c:v>
                </c:pt>
                <c:pt idx="6">
                  <c:v>1.4000000000000004</c:v>
                </c:pt>
                <c:pt idx="7">
                  <c:v>1.5000000000000004</c:v>
                </c:pt>
                <c:pt idx="8">
                  <c:v>1.6000000000000005</c:v>
                </c:pt>
                <c:pt idx="9">
                  <c:v>1.7000000000000006</c:v>
                </c:pt>
                <c:pt idx="10">
                  <c:v>1.8000000000000007</c:v>
                </c:pt>
                <c:pt idx="11">
                  <c:v>1.9000000000000008</c:v>
                </c:pt>
                <c:pt idx="12">
                  <c:v>2.0000000000000009</c:v>
                </c:pt>
                <c:pt idx="13">
                  <c:v>2.100000000000001</c:v>
                </c:pt>
                <c:pt idx="14">
                  <c:v>2.2000000000000011</c:v>
                </c:pt>
                <c:pt idx="15">
                  <c:v>2.3000000000000012</c:v>
                </c:pt>
                <c:pt idx="16">
                  <c:v>2.4000000000000012</c:v>
                </c:pt>
              </c:numCache>
            </c:numRef>
          </c:xVal>
          <c:yVal>
            <c:numRef>
              <c:f>'Hydraulic System 500kw Stall'!$M$3:$M$19</c:f>
              <c:numCache>
                <c:formatCode>0%</c:formatCode>
                <c:ptCount val="17"/>
                <c:pt idx="0">
                  <c:v>0.65965875211267611</c:v>
                </c:pt>
                <c:pt idx="1">
                  <c:v>0.69359262500000007</c:v>
                </c:pt>
                <c:pt idx="2">
                  <c:v>0.71814463273657303</c:v>
                </c:pt>
                <c:pt idx="3">
                  <c:v>0.7367014257874015</c:v>
                </c:pt>
                <c:pt idx="4">
                  <c:v>0.76200989768812344</c:v>
                </c:pt>
                <c:pt idx="5">
                  <c:v>0.77149370454545463</c:v>
                </c:pt>
                <c:pt idx="6">
                  <c:v>0.78438334044943814</c:v>
                </c:pt>
                <c:pt idx="7">
                  <c:v>0.78921179044741996</c:v>
                </c:pt>
                <c:pt idx="8">
                  <c:v>0.79662707987105996</c:v>
                </c:pt>
                <c:pt idx="9">
                  <c:v>0.79662707987105996</c:v>
                </c:pt>
                <c:pt idx="10">
                  <c:v>0.79662707987105996</c:v>
                </c:pt>
                <c:pt idx="11">
                  <c:v>0.79662707987105996</c:v>
                </c:pt>
                <c:pt idx="12">
                  <c:v>0.79662707987105996</c:v>
                </c:pt>
                <c:pt idx="13">
                  <c:v>0.79662707987105996</c:v>
                </c:pt>
                <c:pt idx="14">
                  <c:v>0.79662707987105996</c:v>
                </c:pt>
                <c:pt idx="15">
                  <c:v>0.79662707987105996</c:v>
                </c:pt>
                <c:pt idx="16">
                  <c:v>0.79662707987105996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373376"/>
        <c:axId val="417373768"/>
      </c:scatterChart>
      <c:valAx>
        <c:axId val="417373376"/>
        <c:scaling>
          <c:orientation val="minMax"/>
          <c:max val="2.4"/>
          <c:min val="0.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Flow Speed (m/s)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373768"/>
        <c:crosses val="autoZero"/>
        <c:crossBetween val="midCat"/>
      </c:valAx>
      <c:valAx>
        <c:axId val="417373768"/>
        <c:scaling>
          <c:orientation val="minMax"/>
          <c:max val="0.9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System Efficency (%)</a:t>
                </a:r>
              </a:p>
            </c:rich>
          </c:tx>
          <c:layout>
            <c:manualLayout>
              <c:xMode val="edge"/>
              <c:yMode val="edge"/>
              <c:x val="1.3123826880690359E-2"/>
              <c:y val="0.367985883786998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373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A4VSO</a:t>
            </a:r>
            <a:r>
              <a:rPr lang="en-US" baseline="0"/>
              <a:t> 500</a:t>
            </a:r>
            <a:r>
              <a:rPr lang="en-US"/>
              <a:t> - Total Efficency</a:t>
            </a:r>
            <a:r>
              <a:rPr lang="en-US" baseline="0"/>
              <a:t> - 1200 RPM - ISO VG 46 @ 50 Deg C</a:t>
            </a:r>
            <a:endParaRPr lang="en-US"/>
          </a:p>
        </c:rich>
      </c:tx>
      <c:layout>
        <c:manualLayout>
          <c:xMode val="edge"/>
          <c:yMode val="edge"/>
          <c:x val="0.18358746350720653"/>
          <c:y val="2.4053450428532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'A4VSO 500 Eff'!$D$11</c:f>
              <c:strCache>
                <c:ptCount val="1"/>
                <c:pt idx="0">
                  <c:v>eff total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'A4VSO 500 Eff'!$A$12:$A$35</c:f>
              <c:numCache>
                <c:formatCode>General</c:formatCode>
                <c:ptCount val="24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60</c:v>
                </c:pt>
                <c:pt idx="5">
                  <c:v>70</c:v>
                </c:pt>
                <c:pt idx="6">
                  <c:v>80</c:v>
                </c:pt>
                <c:pt idx="7">
                  <c:v>90</c:v>
                </c:pt>
                <c:pt idx="8">
                  <c:v>100</c:v>
                </c:pt>
                <c:pt idx="9">
                  <c:v>110</c:v>
                </c:pt>
                <c:pt idx="10">
                  <c:v>120</c:v>
                </c:pt>
                <c:pt idx="11">
                  <c:v>130</c:v>
                </c:pt>
                <c:pt idx="12">
                  <c:v>140</c:v>
                </c:pt>
                <c:pt idx="13">
                  <c:v>150</c:v>
                </c:pt>
                <c:pt idx="14">
                  <c:v>160</c:v>
                </c:pt>
                <c:pt idx="15">
                  <c:v>170</c:v>
                </c:pt>
                <c:pt idx="16">
                  <c:v>180</c:v>
                </c:pt>
                <c:pt idx="17">
                  <c:v>190</c:v>
                </c:pt>
                <c:pt idx="18">
                  <c:v>200</c:v>
                </c:pt>
                <c:pt idx="19">
                  <c:v>210</c:v>
                </c:pt>
                <c:pt idx="20">
                  <c:v>220</c:v>
                </c:pt>
                <c:pt idx="21">
                  <c:v>230</c:v>
                </c:pt>
                <c:pt idx="22">
                  <c:v>240</c:v>
                </c:pt>
                <c:pt idx="23">
                  <c:v>250</c:v>
                </c:pt>
              </c:numCache>
            </c:numRef>
          </c:xVal>
          <c:yVal>
            <c:numRef>
              <c:f>'A4VSO 500 Eff'!$D$12:$D$35</c:f>
              <c:numCache>
                <c:formatCode>0.0%</c:formatCode>
                <c:ptCount val="24"/>
                <c:pt idx="0">
                  <c:v>0.5674796747967481</c:v>
                </c:pt>
                <c:pt idx="1">
                  <c:v>0.66066350710900479</c:v>
                </c:pt>
                <c:pt idx="2">
                  <c:v>0.71937984496124019</c:v>
                </c:pt>
                <c:pt idx="3">
                  <c:v>0.75956284153005449</c:v>
                </c:pt>
                <c:pt idx="4">
                  <c:v>0.78863636363636369</c:v>
                </c:pt>
                <c:pt idx="5">
                  <c:v>0.81052631578947365</c:v>
                </c:pt>
                <c:pt idx="6">
                  <c:v>0.82750373692077717</c:v>
                </c:pt>
                <c:pt idx="7">
                  <c:v>0.84097363083164312</c:v>
                </c:pt>
                <c:pt idx="8">
                  <c:v>0.85185185185185197</c:v>
                </c:pt>
                <c:pt idx="9">
                  <c:v>0.8607609312890403</c:v>
                </c:pt>
                <c:pt idx="10">
                  <c:v>0.86813880126182952</c:v>
                </c:pt>
                <c:pt idx="11">
                  <c:v>0.8743024963289282</c:v>
                </c:pt>
                <c:pt idx="12">
                  <c:v>0.87948717948717947</c:v>
                </c:pt>
                <c:pt idx="13">
                  <c:v>0.88387096774193552</c:v>
                </c:pt>
                <c:pt idx="14">
                  <c:v>0.88759124087591246</c:v>
                </c:pt>
                <c:pt idx="15">
                  <c:v>0.89075565784426536</c:v>
                </c:pt>
                <c:pt idx="16">
                  <c:v>0.89344978165938871</c:v>
                </c:pt>
                <c:pt idx="17">
                  <c:v>0.89574247144340602</c:v>
                </c:pt>
                <c:pt idx="18">
                  <c:v>0.89768976897689778</c:v>
                </c:pt>
                <c:pt idx="19">
                  <c:v>0.89933774834437086</c:v>
                </c:pt>
                <c:pt idx="20">
                  <c:v>0.9007246376811594</c:v>
                </c:pt>
                <c:pt idx="21">
                  <c:v>0.90188242108311611</c:v>
                </c:pt>
                <c:pt idx="22">
                  <c:v>0.90283806343906525</c:v>
                </c:pt>
                <c:pt idx="23">
                  <c:v>0.90361445783132521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945272"/>
        <c:axId val="250945664"/>
      </c:scatterChart>
      <c:valAx>
        <c:axId val="250945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System Pressure (bar)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45664"/>
        <c:crosses val="autoZero"/>
        <c:crossBetween val="midCat"/>
      </c:valAx>
      <c:valAx>
        <c:axId val="250945664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Efficency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45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718448329552027"/>
          <c:y val="8.7325109603954912E-2"/>
          <c:w val="0.57048979047110637"/>
          <c:h val="0.813367121001183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'A4VSO 500 Eff'!$L$4</c:f>
              <c:strCache>
                <c:ptCount val="1"/>
                <c:pt idx="0">
                  <c:v>qv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'A4VSO 500 Eff'!$K$5:$K$6</c:f>
              <c:numCache>
                <c:formatCode>General</c:formatCode>
                <c:ptCount val="2"/>
                <c:pt idx="0">
                  <c:v>0</c:v>
                </c:pt>
                <c:pt idx="1">
                  <c:v>350</c:v>
                </c:pt>
              </c:numCache>
            </c:numRef>
          </c:xVal>
          <c:yVal>
            <c:numRef>
              <c:f>'A4VSO 500 Eff'!$L$5:$L$6</c:f>
              <c:numCache>
                <c:formatCode>General</c:formatCode>
                <c:ptCount val="2"/>
                <c:pt idx="0">
                  <c:v>600</c:v>
                </c:pt>
                <c:pt idx="1">
                  <c:v>570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946056"/>
        <c:axId val="250946448"/>
      </c:scatterChart>
      <c:scatterChart>
        <c:scatterStyle val="lineMarker"/>
        <c:varyColors val="0"/>
        <c:ser>
          <c:idx val="1"/>
          <c:order val="1"/>
          <c:tx>
            <c:strRef>
              <c:f>'A4VSO 500 Eff'!$M$4</c:f>
              <c:strCache>
                <c:ptCount val="1"/>
                <c:pt idx="0">
                  <c:v>PqvMax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'A4VSO 500 Eff'!$K$5:$K$6</c:f>
              <c:numCache>
                <c:formatCode>General</c:formatCode>
                <c:ptCount val="2"/>
                <c:pt idx="0">
                  <c:v>0</c:v>
                </c:pt>
                <c:pt idx="1">
                  <c:v>350</c:v>
                </c:pt>
              </c:numCache>
            </c:numRef>
          </c:xVal>
          <c:yVal>
            <c:numRef>
              <c:f>'A4VSO 500 Eff'!$M$5:$M$6</c:f>
              <c:numCache>
                <c:formatCode>General</c:formatCode>
                <c:ptCount val="2"/>
                <c:pt idx="0">
                  <c:v>15</c:v>
                </c:pt>
                <c:pt idx="1">
                  <c:v>367.5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799352"/>
        <c:axId val="417374552"/>
      </c:scatterChart>
      <c:valAx>
        <c:axId val="250946056"/>
        <c:scaling>
          <c:orientation val="minMax"/>
          <c:max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46448"/>
        <c:crosses val="autoZero"/>
        <c:crossBetween val="midCat"/>
      </c:valAx>
      <c:valAx>
        <c:axId val="250946448"/>
        <c:scaling>
          <c:orientation val="minMax"/>
          <c:max val="8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0946056"/>
        <c:crosses val="autoZero"/>
        <c:crossBetween val="midCat"/>
      </c:valAx>
      <c:valAx>
        <c:axId val="417374552"/>
        <c:scaling>
          <c:orientation val="minMax"/>
          <c:max val="42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799352"/>
        <c:crosses val="max"/>
        <c:crossBetween val="midCat"/>
      </c:valAx>
      <c:valAx>
        <c:axId val="247799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7374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A4VSO</a:t>
            </a:r>
            <a:r>
              <a:rPr lang="en-US" baseline="0"/>
              <a:t> 750</a:t>
            </a:r>
            <a:r>
              <a:rPr lang="en-US"/>
              <a:t> - Total Efficency</a:t>
            </a:r>
            <a:r>
              <a:rPr lang="en-US" baseline="0"/>
              <a:t> - 1200 RPM - ISO VG 46 @ 50 Deg C</a:t>
            </a:r>
            <a:endParaRPr lang="en-US"/>
          </a:p>
        </c:rich>
      </c:tx>
      <c:layout>
        <c:manualLayout>
          <c:xMode val="edge"/>
          <c:yMode val="edge"/>
          <c:x val="0.18358746350720653"/>
          <c:y val="2.4053450428532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'A4VSO 750 Eff'!$D$11</c:f>
              <c:strCache>
                <c:ptCount val="1"/>
                <c:pt idx="0">
                  <c:v>eff total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'A4VSO 750 Eff'!$A$12:$A$35</c:f>
              <c:numCache>
                <c:formatCode>General</c:formatCode>
                <c:ptCount val="24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60</c:v>
                </c:pt>
                <c:pt idx="5">
                  <c:v>70</c:v>
                </c:pt>
                <c:pt idx="6">
                  <c:v>80</c:v>
                </c:pt>
                <c:pt idx="7">
                  <c:v>90</c:v>
                </c:pt>
                <c:pt idx="8">
                  <c:v>100</c:v>
                </c:pt>
                <c:pt idx="9">
                  <c:v>110</c:v>
                </c:pt>
                <c:pt idx="10">
                  <c:v>120</c:v>
                </c:pt>
                <c:pt idx="11">
                  <c:v>130</c:v>
                </c:pt>
                <c:pt idx="12">
                  <c:v>140</c:v>
                </c:pt>
                <c:pt idx="13">
                  <c:v>150</c:v>
                </c:pt>
                <c:pt idx="14">
                  <c:v>160</c:v>
                </c:pt>
                <c:pt idx="15">
                  <c:v>170</c:v>
                </c:pt>
                <c:pt idx="16">
                  <c:v>180</c:v>
                </c:pt>
                <c:pt idx="17">
                  <c:v>190</c:v>
                </c:pt>
                <c:pt idx="18">
                  <c:v>200</c:v>
                </c:pt>
                <c:pt idx="19">
                  <c:v>210</c:v>
                </c:pt>
                <c:pt idx="20">
                  <c:v>220</c:v>
                </c:pt>
                <c:pt idx="21">
                  <c:v>230</c:v>
                </c:pt>
                <c:pt idx="22">
                  <c:v>240</c:v>
                </c:pt>
                <c:pt idx="23">
                  <c:v>250</c:v>
                </c:pt>
              </c:numCache>
            </c:numRef>
          </c:xVal>
          <c:yVal>
            <c:numRef>
              <c:f>'A4VSO 750 Eff'!$D$12:$D$35</c:f>
              <c:numCache>
                <c:formatCode>0.0%</c:formatCode>
                <c:ptCount val="24"/>
                <c:pt idx="0">
                  <c:v>0.59152542372881356</c:v>
                </c:pt>
                <c:pt idx="1">
                  <c:v>0.68036876355748366</c:v>
                </c:pt>
                <c:pt idx="2">
                  <c:v>0.73521126760563393</c:v>
                </c:pt>
                <c:pt idx="3">
                  <c:v>0.77222222222222237</c:v>
                </c:pt>
                <c:pt idx="4">
                  <c:v>0.79872122762148356</c:v>
                </c:pt>
                <c:pt idx="5">
                  <c:v>0.81850393700787405</c:v>
                </c:pt>
                <c:pt idx="6">
                  <c:v>0.83373493975903623</c:v>
                </c:pt>
                <c:pt idx="7">
                  <c:v>0.84573889392565749</c:v>
                </c:pt>
                <c:pt idx="8">
                  <c:v>0.85537190082644643</c:v>
                </c:pt>
                <c:pt idx="9">
                  <c:v>0.8632118451025057</c:v>
                </c:pt>
                <c:pt idx="10">
                  <c:v>0.86966292134831458</c:v>
                </c:pt>
                <c:pt idx="11">
                  <c:v>0.87501632919660366</c:v>
                </c:pt>
                <c:pt idx="12">
                  <c:v>0.87948717948717947</c:v>
                </c:pt>
                <c:pt idx="13">
                  <c:v>0.88323782234957005</c:v>
                </c:pt>
                <c:pt idx="14">
                  <c:v>0.88639308855291576</c:v>
                </c:pt>
                <c:pt idx="15">
                  <c:v>0.88905053598774886</c:v>
                </c:pt>
                <c:pt idx="16">
                  <c:v>0.89128751210067769</c:v>
                </c:pt>
                <c:pt idx="17">
                  <c:v>0.89316612977450538</c:v>
                </c:pt>
                <c:pt idx="18">
                  <c:v>0.89473684210526339</c:v>
                </c:pt>
                <c:pt idx="19">
                  <c:v>0.89604105571847503</c:v>
                </c:pt>
                <c:pt idx="20">
                  <c:v>0.89711307137129104</c:v>
                </c:pt>
                <c:pt idx="21">
                  <c:v>0.89798154555940024</c:v>
                </c:pt>
                <c:pt idx="22">
                  <c:v>0.8986706056129985</c:v>
                </c:pt>
                <c:pt idx="23">
                  <c:v>0.89920071047957384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800920"/>
        <c:axId val="600672656"/>
      </c:scatterChart>
      <c:valAx>
        <c:axId val="247800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System Pressure (bar)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672656"/>
        <c:crosses val="autoZero"/>
        <c:crossBetween val="midCat"/>
      </c:valAx>
      <c:valAx>
        <c:axId val="600672656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Efficency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800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882290137461633"/>
          <c:y val="5.2074200392409259E-2"/>
          <c:w val="0.52755193736376171"/>
          <c:h val="0.82658621872103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'A4VSO 750 Eff'!$L$4</c:f>
              <c:strCache>
                <c:ptCount val="1"/>
                <c:pt idx="0">
                  <c:v>qv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'A4VSO 750 Eff'!$K$5:$K$6</c:f>
              <c:numCache>
                <c:formatCode>General</c:formatCode>
                <c:ptCount val="2"/>
                <c:pt idx="0">
                  <c:v>0</c:v>
                </c:pt>
                <c:pt idx="1">
                  <c:v>350</c:v>
                </c:pt>
              </c:numCache>
            </c:numRef>
          </c:xVal>
          <c:yVal>
            <c:numRef>
              <c:f>'A4VSO 750 Eff'!$L$5:$L$6</c:f>
              <c:numCache>
                <c:formatCode>General</c:formatCode>
                <c:ptCount val="2"/>
                <c:pt idx="0">
                  <c:v>900</c:v>
                </c:pt>
                <c:pt idx="1">
                  <c:v>855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800136"/>
        <c:axId val="600673048"/>
      </c:scatterChart>
      <c:scatterChart>
        <c:scatterStyle val="lineMarker"/>
        <c:varyColors val="0"/>
        <c:ser>
          <c:idx val="1"/>
          <c:order val="1"/>
          <c:tx>
            <c:strRef>
              <c:f>'A4VSO 750 Eff'!$M$4</c:f>
              <c:strCache>
                <c:ptCount val="1"/>
                <c:pt idx="0">
                  <c:v>PqvMax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'A4VSO 750 Eff'!$K$5:$K$6</c:f>
              <c:numCache>
                <c:formatCode>General</c:formatCode>
                <c:ptCount val="2"/>
                <c:pt idx="0">
                  <c:v>0</c:v>
                </c:pt>
                <c:pt idx="1">
                  <c:v>350</c:v>
                </c:pt>
              </c:numCache>
            </c:numRef>
          </c:xVal>
          <c:yVal>
            <c:numRef>
              <c:f>'A4VSO 750 Eff'!$M$5:$M$6</c:f>
              <c:numCache>
                <c:formatCode>General</c:formatCode>
                <c:ptCount val="2"/>
                <c:pt idx="0">
                  <c:v>20</c:v>
                </c:pt>
                <c:pt idx="1">
                  <c:v>555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673832"/>
        <c:axId val="600673440"/>
      </c:scatterChart>
      <c:valAx>
        <c:axId val="247800136"/>
        <c:scaling>
          <c:orientation val="minMax"/>
          <c:max val="3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673048"/>
        <c:crosses val="autoZero"/>
        <c:crossBetween val="midCat"/>
      </c:valAx>
      <c:valAx>
        <c:axId val="600673048"/>
        <c:scaling>
          <c:orientation val="minMax"/>
          <c:max val="11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800136"/>
        <c:crosses val="autoZero"/>
        <c:crossBetween val="midCat"/>
      </c:valAx>
      <c:valAx>
        <c:axId val="600673440"/>
        <c:scaling>
          <c:orientation val="minMax"/>
          <c:max val="56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0673832"/>
        <c:crosses val="max"/>
        <c:crossBetween val="midCat"/>
      </c:valAx>
      <c:valAx>
        <c:axId val="600673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0673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A4VSO</a:t>
            </a:r>
            <a:r>
              <a:rPr lang="en-US" baseline="0"/>
              <a:t> 750</a:t>
            </a:r>
            <a:r>
              <a:rPr lang="en-US"/>
              <a:t> - Total Efficency</a:t>
            </a:r>
            <a:r>
              <a:rPr lang="en-US" baseline="0"/>
              <a:t> - 1200 RPM - ISO VG 46 @ 50 Deg C</a:t>
            </a:r>
            <a:endParaRPr lang="en-US"/>
          </a:p>
        </c:rich>
      </c:tx>
      <c:layout>
        <c:manualLayout>
          <c:xMode val="edge"/>
          <c:yMode val="edge"/>
          <c:x val="0.18358746350720653"/>
          <c:y val="2.4053450428532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'A4VSO 1000 Eff'!$D$11</c:f>
              <c:strCache>
                <c:ptCount val="1"/>
                <c:pt idx="0">
                  <c:v>eff total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'A4VSO 1000 Eff'!$A$12:$A$35</c:f>
              <c:numCache>
                <c:formatCode>General</c:formatCode>
                <c:ptCount val="24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60</c:v>
                </c:pt>
                <c:pt idx="5">
                  <c:v>70</c:v>
                </c:pt>
                <c:pt idx="6">
                  <c:v>80</c:v>
                </c:pt>
                <c:pt idx="7">
                  <c:v>90</c:v>
                </c:pt>
                <c:pt idx="8">
                  <c:v>100</c:v>
                </c:pt>
                <c:pt idx="9">
                  <c:v>110</c:v>
                </c:pt>
                <c:pt idx="10">
                  <c:v>120</c:v>
                </c:pt>
                <c:pt idx="11">
                  <c:v>130</c:v>
                </c:pt>
                <c:pt idx="12">
                  <c:v>140</c:v>
                </c:pt>
                <c:pt idx="13">
                  <c:v>150</c:v>
                </c:pt>
                <c:pt idx="14">
                  <c:v>160</c:v>
                </c:pt>
                <c:pt idx="15">
                  <c:v>170</c:v>
                </c:pt>
                <c:pt idx="16">
                  <c:v>180</c:v>
                </c:pt>
                <c:pt idx="17">
                  <c:v>190</c:v>
                </c:pt>
                <c:pt idx="18">
                  <c:v>200</c:v>
                </c:pt>
                <c:pt idx="19">
                  <c:v>210</c:v>
                </c:pt>
                <c:pt idx="20">
                  <c:v>220</c:v>
                </c:pt>
                <c:pt idx="21">
                  <c:v>230</c:v>
                </c:pt>
                <c:pt idx="22">
                  <c:v>240</c:v>
                </c:pt>
                <c:pt idx="23">
                  <c:v>250</c:v>
                </c:pt>
              </c:numCache>
            </c:numRef>
          </c:xVal>
          <c:yVal>
            <c:numRef>
              <c:f>'A4VSO 1000 Eff'!$D$12:$D$35</c:f>
              <c:numCache>
                <c:formatCode>0.0%</c:formatCode>
                <c:ptCount val="24"/>
                <c:pt idx="0">
                  <c:v>0.50986121256391526</c:v>
                </c:pt>
                <c:pt idx="1">
                  <c:v>0.60138050043140656</c:v>
                </c:pt>
                <c:pt idx="2">
                  <c:v>0.66034155597722954</c:v>
                </c:pt>
                <c:pt idx="3">
                  <c:v>0.70131180625630674</c:v>
                </c:pt>
                <c:pt idx="4">
                  <c:v>0.73129610115911503</c:v>
                </c:pt>
                <c:pt idx="5">
                  <c:v>0.75408052230685541</c:v>
                </c:pt>
                <c:pt idx="6">
                  <c:v>0.77189068600111543</c:v>
                </c:pt>
                <c:pt idx="7">
                  <c:v>0.78612059158134262</c:v>
                </c:pt>
                <c:pt idx="8">
                  <c:v>0.79768786127167646</c:v>
                </c:pt>
                <c:pt idx="9">
                  <c:v>0.80722121631696664</c:v>
                </c:pt>
                <c:pt idx="10">
                  <c:v>0.81516587677725127</c:v>
                </c:pt>
                <c:pt idx="11">
                  <c:v>0.82184595564553253</c:v>
                </c:pt>
                <c:pt idx="12">
                  <c:v>0.82750301568154416</c:v>
                </c:pt>
                <c:pt idx="13">
                  <c:v>0.83232077764277046</c:v>
                </c:pt>
                <c:pt idx="14">
                  <c:v>0.83644145521247337</c:v>
                </c:pt>
                <c:pt idx="15">
                  <c:v>0.83997685017724089</c:v>
                </c:pt>
                <c:pt idx="16">
                  <c:v>0.84301606922126093</c:v>
                </c:pt>
                <c:pt idx="17">
                  <c:v>0.84563100450950923</c:v>
                </c:pt>
                <c:pt idx="18">
                  <c:v>0.84788029925187058</c:v>
                </c:pt>
                <c:pt idx="19">
                  <c:v>0.84981226533166454</c:v>
                </c:pt>
                <c:pt idx="20">
                  <c:v>0.85146706245005133</c:v>
                </c:pt>
                <c:pt idx="21">
                  <c:v>0.85287834803089235</c:v>
                </c:pt>
                <c:pt idx="22">
                  <c:v>0.85407454200884425</c:v>
                </c:pt>
                <c:pt idx="23">
                  <c:v>0.85507980744869527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729096"/>
        <c:axId val="604729488"/>
      </c:scatterChart>
      <c:valAx>
        <c:axId val="604729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System Pressure (bar)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729488"/>
        <c:crosses val="autoZero"/>
        <c:crossBetween val="midCat"/>
      </c:valAx>
      <c:valAx>
        <c:axId val="604729488"/>
        <c:scaling>
          <c:orientation val="minMax"/>
          <c:max val="1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Efficency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729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59415454424129"/>
          <c:y val="6.5293292091617675E-2"/>
          <c:w val="0.52303216335246228"/>
          <c:h val="0.766365912091305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'A4VSO 1000 Eff'!$L$4</c:f>
              <c:strCache>
                <c:ptCount val="1"/>
                <c:pt idx="0">
                  <c:v>qv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'A4VSO 1000 Eff'!$K$5:$K$6</c:f>
              <c:numCache>
                <c:formatCode>General</c:formatCode>
                <c:ptCount val="2"/>
                <c:pt idx="0">
                  <c:v>0</c:v>
                </c:pt>
                <c:pt idx="1">
                  <c:v>350</c:v>
                </c:pt>
              </c:numCache>
            </c:numRef>
          </c:xVal>
          <c:yVal>
            <c:numRef>
              <c:f>'A4VSO 1000 Eff'!$L$5:$L$6</c:f>
              <c:numCache>
                <c:formatCode>General</c:formatCode>
                <c:ptCount val="2"/>
                <c:pt idx="0">
                  <c:v>1200</c:v>
                </c:pt>
                <c:pt idx="1">
                  <c:v>1140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728312"/>
        <c:axId val="604729880"/>
      </c:scatterChart>
      <c:scatterChart>
        <c:scatterStyle val="lineMarker"/>
        <c:varyColors val="0"/>
        <c:ser>
          <c:idx val="1"/>
          <c:order val="1"/>
          <c:tx>
            <c:strRef>
              <c:f>'A4VSO 1000 Eff'!$M$4</c:f>
              <c:strCache>
                <c:ptCount val="1"/>
                <c:pt idx="0">
                  <c:v>PqvMax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'A4VSO 1000 Eff'!$K$5:$K$6</c:f>
              <c:numCache>
                <c:formatCode>General</c:formatCode>
                <c:ptCount val="2"/>
                <c:pt idx="0">
                  <c:v>0</c:v>
                </c:pt>
                <c:pt idx="1">
                  <c:v>350</c:v>
                </c:pt>
              </c:numCache>
            </c:numRef>
          </c:xVal>
          <c:yVal>
            <c:numRef>
              <c:f>'A4VSO 1000 Eff'!$M$5:$M$6</c:f>
              <c:numCache>
                <c:formatCode>General</c:formatCode>
                <c:ptCount val="2"/>
                <c:pt idx="0">
                  <c:v>36</c:v>
                </c:pt>
                <c:pt idx="1">
                  <c:v>774.99999999999989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730664"/>
        <c:axId val="604730272"/>
      </c:scatterChart>
      <c:valAx>
        <c:axId val="604728312"/>
        <c:scaling>
          <c:orientation val="minMax"/>
          <c:max val="3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729880"/>
        <c:crosses val="autoZero"/>
        <c:crossBetween val="midCat"/>
      </c:valAx>
      <c:valAx>
        <c:axId val="604729880"/>
        <c:scaling>
          <c:orientation val="minMax"/>
          <c:max val="16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728312"/>
        <c:crosses val="autoZero"/>
        <c:crossBetween val="midCat"/>
      </c:valAx>
      <c:valAx>
        <c:axId val="604730272"/>
        <c:scaling>
          <c:orientation val="minMax"/>
          <c:max val="84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730664"/>
        <c:crosses val="max"/>
        <c:crossBetween val="midCat"/>
      </c:valAx>
      <c:valAx>
        <c:axId val="604730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4730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54334477040104"/>
          <c:y val="0.12308626174373533"/>
          <c:w val="0.87107585177583657"/>
          <c:h val="0.7594249077721225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'Hydraulic System 500kw PDC'!$M$1:$M$2</c:f>
              <c:strCache>
                <c:ptCount val="2"/>
                <c:pt idx="0">
                  <c:v>Total Efficency</c:v>
                </c:pt>
                <c:pt idx="1">
                  <c:v>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'Hydraulic System 500kw PDC'!$B$3:$B$19</c:f>
              <c:numCache>
                <c:formatCode>General</c:formatCode>
                <c:ptCount val="17"/>
                <c:pt idx="0">
                  <c:v>0.8</c:v>
                </c:pt>
                <c:pt idx="1">
                  <c:v>0.9</c:v>
                </c:pt>
                <c:pt idx="2">
                  <c:v>1</c:v>
                </c:pt>
                <c:pt idx="3">
                  <c:v>1.1000000000000001</c:v>
                </c:pt>
                <c:pt idx="4">
                  <c:v>1.2000000000000002</c:v>
                </c:pt>
                <c:pt idx="5">
                  <c:v>1.3000000000000003</c:v>
                </c:pt>
                <c:pt idx="6">
                  <c:v>1.4000000000000004</c:v>
                </c:pt>
                <c:pt idx="7">
                  <c:v>1.5000000000000004</c:v>
                </c:pt>
                <c:pt idx="8">
                  <c:v>1.6000000000000005</c:v>
                </c:pt>
                <c:pt idx="9">
                  <c:v>1.7000000000000006</c:v>
                </c:pt>
                <c:pt idx="10">
                  <c:v>1.8000000000000007</c:v>
                </c:pt>
                <c:pt idx="11">
                  <c:v>1.9000000000000008</c:v>
                </c:pt>
                <c:pt idx="12">
                  <c:v>2.0000000000000009</c:v>
                </c:pt>
                <c:pt idx="13">
                  <c:v>2.100000000000001</c:v>
                </c:pt>
                <c:pt idx="14">
                  <c:v>2.2000000000000011</c:v>
                </c:pt>
                <c:pt idx="15">
                  <c:v>2.3000000000000012</c:v>
                </c:pt>
                <c:pt idx="16">
                  <c:v>2.4000000000000012</c:v>
                </c:pt>
              </c:numCache>
            </c:numRef>
          </c:xVal>
          <c:yVal>
            <c:numRef>
              <c:f>'Hydraulic System 500kw PDC'!$M$3:$M$19</c:f>
              <c:numCache>
                <c:formatCode>0%</c:formatCode>
                <c:ptCount val="17"/>
                <c:pt idx="0">
                  <c:v>0.69585541967213094</c:v>
                </c:pt>
                <c:pt idx="1">
                  <c:v>0.72250214624999998</c:v>
                </c:pt>
                <c:pt idx="2">
                  <c:v>0.7581207923946186</c:v>
                </c:pt>
                <c:pt idx="3">
                  <c:v>0.77047044670588249</c:v>
                </c:pt>
                <c:pt idx="4">
                  <c:v>0.78860654444974443</c:v>
                </c:pt>
                <c:pt idx="5">
                  <c:v>0.80101902938325997</c:v>
                </c:pt>
                <c:pt idx="6">
                  <c:v>0.80894632180645165</c:v>
                </c:pt>
                <c:pt idx="7">
                  <c:v>0.81440171293670882</c:v>
                </c:pt>
                <c:pt idx="8">
                  <c:v>0.81811063914018678</c:v>
                </c:pt>
                <c:pt idx="9">
                  <c:v>0.81811063914018678</c:v>
                </c:pt>
                <c:pt idx="10">
                  <c:v>0.81811063914018678</c:v>
                </c:pt>
                <c:pt idx="11">
                  <c:v>0.81811063914018678</c:v>
                </c:pt>
                <c:pt idx="12">
                  <c:v>0.81811063914018678</c:v>
                </c:pt>
                <c:pt idx="13">
                  <c:v>0.81811063914018678</c:v>
                </c:pt>
                <c:pt idx="14">
                  <c:v>0.81811063914018678</c:v>
                </c:pt>
                <c:pt idx="15">
                  <c:v>0.81811063914018678</c:v>
                </c:pt>
                <c:pt idx="16">
                  <c:v>0.81811063914018678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731840"/>
        <c:axId val="604405752"/>
      </c:scatterChart>
      <c:valAx>
        <c:axId val="604731840"/>
        <c:scaling>
          <c:orientation val="minMax"/>
          <c:max val="2.4"/>
          <c:min val="0.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Flow Speed (m/s)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405752"/>
        <c:crosses val="autoZero"/>
        <c:crossBetween val="midCat"/>
      </c:valAx>
      <c:valAx>
        <c:axId val="604405752"/>
        <c:scaling>
          <c:orientation val="minMax"/>
          <c:max val="0.9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System Efficency</a:t>
                </a:r>
              </a:p>
            </c:rich>
          </c:tx>
          <c:layout>
            <c:manualLayout>
              <c:xMode val="edge"/>
              <c:yMode val="edge"/>
              <c:x val="1.1145509749103166E-2"/>
              <c:y val="0.2855889335954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731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54334477040104"/>
          <c:y val="0.12308626174373533"/>
          <c:w val="0.87107585177583657"/>
          <c:h val="0.7594249077721225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'Hydraulic System 500kw Stall'!$M$1:$M$2</c:f>
              <c:strCache>
                <c:ptCount val="2"/>
                <c:pt idx="0">
                  <c:v>Total Efficency</c:v>
                </c:pt>
                <c:pt idx="1">
                  <c:v>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'Hydraulic System 500kw Stall'!$B$3:$B$19</c:f>
              <c:numCache>
                <c:formatCode>General</c:formatCode>
                <c:ptCount val="17"/>
                <c:pt idx="0">
                  <c:v>0.8</c:v>
                </c:pt>
                <c:pt idx="1">
                  <c:v>0.9</c:v>
                </c:pt>
                <c:pt idx="2">
                  <c:v>1</c:v>
                </c:pt>
                <c:pt idx="3">
                  <c:v>1.1000000000000001</c:v>
                </c:pt>
                <c:pt idx="4">
                  <c:v>1.2000000000000002</c:v>
                </c:pt>
                <c:pt idx="5">
                  <c:v>1.3000000000000003</c:v>
                </c:pt>
                <c:pt idx="6">
                  <c:v>1.4000000000000004</c:v>
                </c:pt>
                <c:pt idx="7">
                  <c:v>1.5000000000000004</c:v>
                </c:pt>
                <c:pt idx="8">
                  <c:v>1.6000000000000005</c:v>
                </c:pt>
                <c:pt idx="9">
                  <c:v>1.7000000000000006</c:v>
                </c:pt>
                <c:pt idx="10">
                  <c:v>1.8000000000000007</c:v>
                </c:pt>
                <c:pt idx="11">
                  <c:v>1.9000000000000008</c:v>
                </c:pt>
                <c:pt idx="12">
                  <c:v>2.0000000000000009</c:v>
                </c:pt>
                <c:pt idx="13">
                  <c:v>2.100000000000001</c:v>
                </c:pt>
                <c:pt idx="14">
                  <c:v>2.2000000000000011</c:v>
                </c:pt>
                <c:pt idx="15">
                  <c:v>2.3000000000000012</c:v>
                </c:pt>
                <c:pt idx="16">
                  <c:v>2.4000000000000012</c:v>
                </c:pt>
              </c:numCache>
            </c:numRef>
          </c:xVal>
          <c:yVal>
            <c:numRef>
              <c:f>'Hydraulic System 500kw Stall'!$M$3:$M$19</c:f>
              <c:numCache>
                <c:formatCode>0%</c:formatCode>
                <c:ptCount val="17"/>
                <c:pt idx="0">
                  <c:v>0.65965875211267611</c:v>
                </c:pt>
                <c:pt idx="1">
                  <c:v>0.69359262500000007</c:v>
                </c:pt>
                <c:pt idx="2">
                  <c:v>0.71814463273657303</c:v>
                </c:pt>
                <c:pt idx="3">
                  <c:v>0.7367014257874015</c:v>
                </c:pt>
                <c:pt idx="4">
                  <c:v>0.76200989768812344</c:v>
                </c:pt>
                <c:pt idx="5">
                  <c:v>0.77149370454545463</c:v>
                </c:pt>
                <c:pt idx="6">
                  <c:v>0.78438334044943814</c:v>
                </c:pt>
                <c:pt idx="7">
                  <c:v>0.78921179044741996</c:v>
                </c:pt>
                <c:pt idx="8">
                  <c:v>0.79662707987105996</c:v>
                </c:pt>
                <c:pt idx="9">
                  <c:v>0.79662707987105996</c:v>
                </c:pt>
                <c:pt idx="10">
                  <c:v>0.79662707987105996</c:v>
                </c:pt>
                <c:pt idx="11">
                  <c:v>0.79662707987105996</c:v>
                </c:pt>
                <c:pt idx="12">
                  <c:v>0.79662707987105996</c:v>
                </c:pt>
                <c:pt idx="13">
                  <c:v>0.79662707987105996</c:v>
                </c:pt>
                <c:pt idx="14">
                  <c:v>0.79662707987105996</c:v>
                </c:pt>
                <c:pt idx="15">
                  <c:v>0.79662707987105996</c:v>
                </c:pt>
                <c:pt idx="16">
                  <c:v>0.79662707987105996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406536"/>
        <c:axId val="604406928"/>
      </c:scatterChart>
      <c:valAx>
        <c:axId val="604406536"/>
        <c:scaling>
          <c:orientation val="minMax"/>
          <c:max val="2.4"/>
          <c:min val="0.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Flow Speed (m/s)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406928"/>
        <c:crosses val="autoZero"/>
        <c:crossBetween val="midCat"/>
      </c:valAx>
      <c:valAx>
        <c:axId val="604406928"/>
        <c:scaling>
          <c:orientation val="minMax"/>
          <c:max val="0.9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System Efficency</a:t>
                </a:r>
              </a:p>
            </c:rich>
          </c:tx>
          <c:layout>
            <c:manualLayout>
              <c:xMode val="edge"/>
              <c:yMode val="edge"/>
              <c:x val="1.1145509749103166E-2"/>
              <c:y val="0.2855889335954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4406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emf"/><Relationship Id="rId4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chart" Target="../charts/chart9.xml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428625</xdr:colOff>
      <xdr:row>1</xdr:row>
      <xdr:rowOff>142875</xdr:rowOff>
    </xdr:from>
    <xdr:to>
      <xdr:col>20</xdr:col>
      <xdr:colOff>142875</xdr:colOff>
      <xdr:row>28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254000</xdr:colOff>
      <xdr:row>35</xdr:row>
      <xdr:rowOff>126686</xdr:rowOff>
    </xdr:from>
    <xdr:to>
      <xdr:col>15</xdr:col>
      <xdr:colOff>137584</xdr:colOff>
      <xdr:row>38</xdr:row>
      <xdr:rowOff>126999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333" y="6836519"/>
          <a:ext cx="6635751" cy="571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158750</xdr:colOff>
      <xdr:row>10</xdr:row>
      <xdr:rowOff>42333</xdr:rowOff>
    </xdr:from>
    <xdr:to>
      <xdr:col>15</xdr:col>
      <xdr:colOff>306918</xdr:colOff>
      <xdr:row>35</xdr:row>
      <xdr:rowOff>31750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455084</xdr:colOff>
      <xdr:row>1</xdr:row>
      <xdr:rowOff>0</xdr:rowOff>
    </xdr:from>
    <xdr:to>
      <xdr:col>25</xdr:col>
      <xdr:colOff>550334</xdr:colOff>
      <xdr:row>46</xdr:row>
      <xdr:rowOff>21168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254000</xdr:colOff>
      <xdr:row>35</xdr:row>
      <xdr:rowOff>126686</xdr:rowOff>
    </xdr:from>
    <xdr:to>
      <xdr:col>15</xdr:col>
      <xdr:colOff>137584</xdr:colOff>
      <xdr:row>38</xdr:row>
      <xdr:rowOff>126999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2400" y="6851336"/>
          <a:ext cx="6589184" cy="571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158750</xdr:colOff>
      <xdr:row>10</xdr:row>
      <xdr:rowOff>42333</xdr:rowOff>
    </xdr:from>
    <xdr:to>
      <xdr:col>15</xdr:col>
      <xdr:colOff>306918</xdr:colOff>
      <xdr:row>35</xdr:row>
      <xdr:rowOff>31750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455084</xdr:colOff>
      <xdr:row>1</xdr:row>
      <xdr:rowOff>0</xdr:rowOff>
    </xdr:from>
    <xdr:to>
      <xdr:col>25</xdr:col>
      <xdr:colOff>550334</xdr:colOff>
      <xdr:row>46</xdr:row>
      <xdr:rowOff>21168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27</xdr:col>
      <xdr:colOff>0</xdr:colOff>
      <xdr:row>0</xdr:row>
      <xdr:rowOff>201082</xdr:rowOff>
    </xdr:from>
    <xdr:to>
      <xdr:col>34</xdr:col>
      <xdr:colOff>158750</xdr:colOff>
      <xdr:row>47</xdr:row>
      <xdr:rowOff>131351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0" y="201082"/>
          <a:ext cx="4455583" cy="8947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254000</xdr:colOff>
      <xdr:row>35</xdr:row>
      <xdr:rowOff>126686</xdr:rowOff>
    </xdr:from>
    <xdr:to>
      <xdr:col>15</xdr:col>
      <xdr:colOff>137584</xdr:colOff>
      <xdr:row>38</xdr:row>
      <xdr:rowOff>126999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2400" y="6851336"/>
          <a:ext cx="6589184" cy="571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158750</xdr:colOff>
      <xdr:row>10</xdr:row>
      <xdr:rowOff>42333</xdr:rowOff>
    </xdr:from>
    <xdr:to>
      <xdr:col>15</xdr:col>
      <xdr:colOff>306918</xdr:colOff>
      <xdr:row>35</xdr:row>
      <xdr:rowOff>31750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455084</xdr:colOff>
      <xdr:row>1</xdr:row>
      <xdr:rowOff>0</xdr:rowOff>
    </xdr:from>
    <xdr:to>
      <xdr:col>25</xdr:col>
      <xdr:colOff>550334</xdr:colOff>
      <xdr:row>46</xdr:row>
      <xdr:rowOff>21168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27</xdr:col>
      <xdr:colOff>455083</xdr:colOff>
      <xdr:row>3</xdr:row>
      <xdr:rowOff>74083</xdr:rowOff>
    </xdr:from>
    <xdr:to>
      <xdr:col>35</xdr:col>
      <xdr:colOff>288925</xdr:colOff>
      <xdr:row>43</xdr:row>
      <xdr:rowOff>147108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8583" y="677333"/>
          <a:ext cx="4744509" cy="772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3</xdr:row>
      <xdr:rowOff>9525</xdr:rowOff>
    </xdr:from>
    <xdr:to>
      <xdr:col>28</xdr:col>
      <xdr:colOff>447675</xdr:colOff>
      <xdr:row>30</xdr:row>
      <xdr:rowOff>38100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581025"/>
          <a:ext cx="14201775" cy="517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533400</xdr:colOff>
      <xdr:row>15</xdr:row>
      <xdr:rowOff>133350</xdr:rowOff>
    </xdr:from>
    <xdr:to>
      <xdr:col>12</xdr:col>
      <xdr:colOff>104775</xdr:colOff>
      <xdr:row>16</xdr:row>
      <xdr:rowOff>123825</xdr:rowOff>
    </xdr:to>
    <xdr:sp macro="" textlink="">
      <xdr:nvSpPr>
        <xdr:cNvPr id="5" name="Oval 4"/>
        <xdr:cNvSpPr/>
      </xdr:nvSpPr>
      <xdr:spPr>
        <a:xfrm>
          <a:off x="7305675" y="2990850"/>
          <a:ext cx="180975" cy="1809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447675</xdr:colOff>
      <xdr:row>21</xdr:row>
      <xdr:rowOff>38100</xdr:rowOff>
    </xdr:from>
    <xdr:to>
      <xdr:col>10</xdr:col>
      <xdr:colOff>19050</xdr:colOff>
      <xdr:row>22</xdr:row>
      <xdr:rowOff>28575</xdr:rowOff>
    </xdr:to>
    <xdr:sp macro="" textlink="">
      <xdr:nvSpPr>
        <xdr:cNvPr id="7" name="Oval 6"/>
        <xdr:cNvSpPr/>
      </xdr:nvSpPr>
      <xdr:spPr>
        <a:xfrm>
          <a:off x="6610350" y="4038600"/>
          <a:ext cx="180975" cy="1809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600075</xdr:colOff>
      <xdr:row>18</xdr:row>
      <xdr:rowOff>9525</xdr:rowOff>
    </xdr:from>
    <xdr:to>
      <xdr:col>11</xdr:col>
      <xdr:colOff>171450</xdr:colOff>
      <xdr:row>19</xdr:row>
      <xdr:rowOff>0</xdr:rowOff>
    </xdr:to>
    <xdr:sp macro="" textlink="">
      <xdr:nvSpPr>
        <xdr:cNvPr id="8" name="Oval 7"/>
        <xdr:cNvSpPr/>
      </xdr:nvSpPr>
      <xdr:spPr>
        <a:xfrm>
          <a:off x="6762750" y="3438525"/>
          <a:ext cx="180975" cy="1809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152400</xdr:colOff>
      <xdr:row>11</xdr:row>
      <xdr:rowOff>142875</xdr:rowOff>
    </xdr:from>
    <xdr:to>
      <xdr:col>10</xdr:col>
      <xdr:colOff>333375</xdr:colOff>
      <xdr:row>12</xdr:row>
      <xdr:rowOff>133350</xdr:rowOff>
    </xdr:to>
    <xdr:sp macro="" textlink="">
      <xdr:nvSpPr>
        <xdr:cNvPr id="10" name="Oval 9"/>
        <xdr:cNvSpPr/>
      </xdr:nvSpPr>
      <xdr:spPr>
        <a:xfrm>
          <a:off x="6924675" y="2238375"/>
          <a:ext cx="180975" cy="1809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2</xdr:row>
      <xdr:rowOff>38100</xdr:rowOff>
    </xdr:from>
    <xdr:to>
      <xdr:col>28</xdr:col>
      <xdr:colOff>66675</xdr:colOff>
      <xdr:row>30</xdr:row>
      <xdr:rowOff>152400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419100"/>
          <a:ext cx="14125575" cy="544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295275</xdr:colOff>
      <xdr:row>16</xdr:row>
      <xdr:rowOff>66675</xdr:rowOff>
    </xdr:from>
    <xdr:to>
      <xdr:col>12</xdr:col>
      <xdr:colOff>476250</xdr:colOff>
      <xdr:row>17</xdr:row>
      <xdr:rowOff>57150</xdr:rowOff>
    </xdr:to>
    <xdr:sp macro="" textlink="">
      <xdr:nvSpPr>
        <xdr:cNvPr id="3" name="Oval 2"/>
        <xdr:cNvSpPr/>
      </xdr:nvSpPr>
      <xdr:spPr>
        <a:xfrm>
          <a:off x="8162925" y="3114675"/>
          <a:ext cx="180975" cy="1809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419100</xdr:colOff>
      <xdr:row>21</xdr:row>
      <xdr:rowOff>152400</xdr:rowOff>
    </xdr:from>
    <xdr:to>
      <xdr:col>9</xdr:col>
      <xdr:colOff>600075</xdr:colOff>
      <xdr:row>22</xdr:row>
      <xdr:rowOff>142875</xdr:rowOff>
    </xdr:to>
    <xdr:sp macro="" textlink="">
      <xdr:nvSpPr>
        <xdr:cNvPr id="4" name="Oval 3"/>
        <xdr:cNvSpPr/>
      </xdr:nvSpPr>
      <xdr:spPr>
        <a:xfrm>
          <a:off x="6457950" y="4152900"/>
          <a:ext cx="180975" cy="1809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57150</xdr:colOff>
      <xdr:row>20</xdr:row>
      <xdr:rowOff>19050</xdr:rowOff>
    </xdr:from>
    <xdr:to>
      <xdr:col>11</xdr:col>
      <xdr:colOff>238125</xdr:colOff>
      <xdr:row>21</xdr:row>
      <xdr:rowOff>9525</xdr:rowOff>
    </xdr:to>
    <xdr:sp macro="" textlink="">
      <xdr:nvSpPr>
        <xdr:cNvPr id="5" name="Oval 4"/>
        <xdr:cNvSpPr/>
      </xdr:nvSpPr>
      <xdr:spPr>
        <a:xfrm>
          <a:off x="7315200" y="3829050"/>
          <a:ext cx="180975" cy="1809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152400</xdr:colOff>
      <xdr:row>11</xdr:row>
      <xdr:rowOff>142875</xdr:rowOff>
    </xdr:from>
    <xdr:to>
      <xdr:col>10</xdr:col>
      <xdr:colOff>333375</xdr:colOff>
      <xdr:row>12</xdr:row>
      <xdr:rowOff>133350</xdr:rowOff>
    </xdr:to>
    <xdr:sp macro="" textlink="">
      <xdr:nvSpPr>
        <xdr:cNvPr id="6" name="Oval 5"/>
        <xdr:cNvSpPr/>
      </xdr:nvSpPr>
      <xdr:spPr>
        <a:xfrm>
          <a:off x="6800850" y="2238375"/>
          <a:ext cx="180975" cy="1809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382904</xdr:colOff>
      <xdr:row>21</xdr:row>
      <xdr:rowOff>150971</xdr:rowOff>
    </xdr:from>
    <xdr:to>
      <xdr:col>25</xdr:col>
      <xdr:colOff>237172</xdr:colOff>
      <xdr:row>57</xdr:row>
      <xdr:rowOff>112871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9779" y="4532471"/>
          <a:ext cx="5962174" cy="681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71437</xdr:colOff>
      <xdr:row>26</xdr:row>
      <xdr:rowOff>11908</xdr:rowOff>
    </xdr:from>
    <xdr:to>
      <xdr:col>45</xdr:col>
      <xdr:colOff>290512</xdr:colOff>
      <xdr:row>68</xdr:row>
      <xdr:rowOff>116683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07375" y="5393533"/>
          <a:ext cx="13827919" cy="810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654843</xdr:colOff>
      <xdr:row>21</xdr:row>
      <xdr:rowOff>47625</xdr:rowOff>
    </xdr:from>
    <xdr:to>
      <xdr:col>13</xdr:col>
      <xdr:colOff>168010</xdr:colOff>
      <xdr:row>41</xdr:row>
      <xdr:rowOff>44716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382904</xdr:colOff>
      <xdr:row>21</xdr:row>
      <xdr:rowOff>150971</xdr:rowOff>
    </xdr:from>
    <xdr:to>
      <xdr:col>25</xdr:col>
      <xdr:colOff>237172</xdr:colOff>
      <xdr:row>57</xdr:row>
      <xdr:rowOff>112871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1679" y="4570571"/>
          <a:ext cx="5988368" cy="681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486833</xdr:colOff>
      <xdr:row>22</xdr:row>
      <xdr:rowOff>14815</xdr:rowOff>
    </xdr:from>
    <xdr:to>
      <xdr:col>13</xdr:col>
      <xdr:colOff>0</xdr:colOff>
      <xdr:row>42</xdr:row>
      <xdr:rowOff>11906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27</xdr:col>
      <xdr:colOff>71437</xdr:colOff>
      <xdr:row>26</xdr:row>
      <xdr:rowOff>11908</xdr:rowOff>
    </xdr:from>
    <xdr:to>
      <xdr:col>45</xdr:col>
      <xdr:colOff>290512</xdr:colOff>
      <xdr:row>68</xdr:row>
      <xdr:rowOff>116683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02612" y="5384008"/>
          <a:ext cx="13849350" cy="810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tabSelected="1" workbookViewId="0">
      <selection activeCell="G13" sqref="G13"/>
    </sheetView>
  </sheetViews>
  <sheetFormatPr defaultRowHeight="15" x14ac:dyDescent="0.25"/>
  <cols>
    <col min="1" max="1" width="16.85546875" bestFit="1" customWidth="1"/>
    <col min="2" max="2" width="9.28515625" bestFit="1" customWidth="1"/>
    <col min="3" max="4" width="14.28515625" bestFit="1" customWidth="1"/>
    <col min="5" max="5" width="23.5703125" bestFit="1" customWidth="1"/>
    <col min="6" max="6" width="15.5703125" bestFit="1" customWidth="1"/>
  </cols>
  <sheetData>
    <row r="1" spans="1:6" x14ac:dyDescent="0.25">
      <c r="C1" s="45" t="s">
        <v>95</v>
      </c>
      <c r="D1" s="45" t="s">
        <v>94</v>
      </c>
      <c r="E1" s="45" t="s">
        <v>112</v>
      </c>
      <c r="F1" s="45" t="s">
        <v>116</v>
      </c>
    </row>
    <row r="2" spans="1:6" x14ac:dyDescent="0.25">
      <c r="A2" s="21" t="s">
        <v>96</v>
      </c>
      <c r="B2" s="21" t="s">
        <v>109</v>
      </c>
      <c r="C2" s="5" t="s">
        <v>103</v>
      </c>
      <c r="D2" s="5" t="s">
        <v>104</v>
      </c>
      <c r="E2" s="5" t="s">
        <v>103</v>
      </c>
      <c r="F2" s="5" t="s">
        <v>29</v>
      </c>
    </row>
    <row r="3" spans="1:6" x14ac:dyDescent="0.25">
      <c r="A3" s="21" t="s">
        <v>97</v>
      </c>
      <c r="B3" s="21" t="s">
        <v>109</v>
      </c>
      <c r="C3" s="5" t="s">
        <v>99</v>
      </c>
      <c r="D3" s="5" t="s">
        <v>101</v>
      </c>
      <c r="E3" s="5" t="s">
        <v>99</v>
      </c>
      <c r="F3" s="5" t="s">
        <v>29</v>
      </c>
    </row>
    <row r="4" spans="1:6" x14ac:dyDescent="0.25">
      <c r="A4" s="21" t="s">
        <v>98</v>
      </c>
      <c r="B4" s="21" t="s">
        <v>109</v>
      </c>
      <c r="C4" s="5" t="s">
        <v>100</v>
      </c>
      <c r="D4" s="5" t="s">
        <v>102</v>
      </c>
      <c r="E4" s="5" t="s">
        <v>100</v>
      </c>
      <c r="F4" s="5" t="s">
        <v>29</v>
      </c>
    </row>
    <row r="5" spans="1:6" x14ac:dyDescent="0.25">
      <c r="A5" s="21" t="s">
        <v>105</v>
      </c>
      <c r="B5" s="21" t="s">
        <v>81</v>
      </c>
      <c r="C5" s="5">
        <v>200</v>
      </c>
      <c r="D5" s="5">
        <v>160</v>
      </c>
      <c r="E5" s="5">
        <v>200</v>
      </c>
      <c r="F5" s="5" t="s">
        <v>29</v>
      </c>
    </row>
    <row r="6" spans="1:6" x14ac:dyDescent="0.25">
      <c r="A6" s="21" t="s">
        <v>106</v>
      </c>
      <c r="B6" s="21" t="s">
        <v>110</v>
      </c>
      <c r="C6" s="5">
        <v>7.2</v>
      </c>
      <c r="D6" s="5">
        <v>6.1</v>
      </c>
      <c r="E6" s="5" t="s">
        <v>113</v>
      </c>
      <c r="F6" s="5" t="s">
        <v>29</v>
      </c>
    </row>
    <row r="7" spans="1:6" x14ac:dyDescent="0.25">
      <c r="A7" s="21" t="s">
        <v>107</v>
      </c>
      <c r="B7" s="21" t="s">
        <v>40</v>
      </c>
      <c r="C7" s="5" t="s">
        <v>117</v>
      </c>
      <c r="D7" s="5" t="s">
        <v>118</v>
      </c>
      <c r="E7" s="5" t="s">
        <v>118</v>
      </c>
      <c r="F7" s="5" t="s">
        <v>40</v>
      </c>
    </row>
    <row r="8" spans="1:6" x14ac:dyDescent="0.25">
      <c r="A8" s="21" t="s">
        <v>108</v>
      </c>
      <c r="B8" s="21" t="s">
        <v>111</v>
      </c>
      <c r="C8" s="11">
        <v>2876.3273258606446</v>
      </c>
      <c r="D8" s="11">
        <v>2822.4235074316171</v>
      </c>
      <c r="E8" s="11">
        <v>2822.4235074316171</v>
      </c>
      <c r="F8" s="11">
        <v>3182.1704139787516</v>
      </c>
    </row>
    <row r="9" spans="1:6" x14ac:dyDescent="0.25">
      <c r="A9" s="21" t="s">
        <v>123</v>
      </c>
      <c r="B9" s="21" t="s">
        <v>90</v>
      </c>
      <c r="C9" s="46">
        <f t="shared" ref="C9:E9" si="0">(C8-$C$8)/$C$8</f>
        <v>0</v>
      </c>
      <c r="D9" s="46">
        <f t="shared" si="0"/>
        <v>-1.8740502148133859E-2</v>
      </c>
      <c r="E9" s="46">
        <f t="shared" si="0"/>
        <v>-1.8740502148133859E-2</v>
      </c>
      <c r="F9" s="46">
        <f>(F8-$C$8)/$C$8</f>
        <v>0.10633111376730872</v>
      </c>
    </row>
    <row r="10" spans="1:6" x14ac:dyDescent="0.25">
      <c r="C10" s="1"/>
      <c r="D10" s="1"/>
      <c r="E10" s="1"/>
      <c r="F10" s="1"/>
    </row>
    <row r="12" spans="1:6" x14ac:dyDescent="0.25">
      <c r="A12" t="s">
        <v>114</v>
      </c>
    </row>
    <row r="14" spans="1:6" x14ac:dyDescent="0.25">
      <c r="A14" t="s">
        <v>115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zoomScale="90" zoomScaleNormal="90" workbookViewId="0">
      <selection activeCell="A9" sqref="A9"/>
    </sheetView>
  </sheetViews>
  <sheetFormatPr defaultRowHeight="15" x14ac:dyDescent="0.25"/>
  <sheetData>
    <row r="1" spans="1:22" ht="15.75" thickBot="1" x14ac:dyDescent="0.3">
      <c r="A1" t="s">
        <v>5</v>
      </c>
    </row>
    <row r="2" spans="1:22" ht="15.75" thickBot="1" x14ac:dyDescent="0.3">
      <c r="A2" s="12" t="s">
        <v>2</v>
      </c>
      <c r="B2" s="13"/>
      <c r="C2" s="13"/>
      <c r="D2" s="13"/>
      <c r="E2" s="13"/>
      <c r="F2" s="13"/>
      <c r="G2" s="13"/>
      <c r="H2" s="13"/>
      <c r="I2" s="14"/>
      <c r="J2" s="12" t="s">
        <v>88</v>
      </c>
      <c r="K2" s="13"/>
      <c r="L2" s="13"/>
      <c r="M2" s="13"/>
      <c r="N2" s="14"/>
    </row>
    <row r="3" spans="1:22" ht="15.75" thickBot="1" x14ac:dyDescent="0.3">
      <c r="A3" s="15"/>
      <c r="B3" s="37" t="s">
        <v>74</v>
      </c>
      <c r="C3" s="38">
        <v>1320</v>
      </c>
      <c r="D3" s="39"/>
      <c r="E3" s="16"/>
      <c r="F3" s="37" t="s">
        <v>74</v>
      </c>
      <c r="G3" s="38">
        <v>1000</v>
      </c>
      <c r="H3" s="39"/>
      <c r="I3" s="17"/>
      <c r="J3" s="15"/>
      <c r="K3" s="37" t="s">
        <v>75</v>
      </c>
      <c r="L3" s="38">
        <v>1200</v>
      </c>
      <c r="M3" s="39"/>
      <c r="N3" s="17"/>
    </row>
    <row r="4" spans="1:22" x14ac:dyDescent="0.25">
      <c r="A4" s="15"/>
      <c r="B4" s="34" t="s">
        <v>3</v>
      </c>
      <c r="C4" s="35" t="s">
        <v>0</v>
      </c>
      <c r="D4" s="36" t="s">
        <v>4</v>
      </c>
      <c r="E4" s="16"/>
      <c r="F4" s="34" t="s">
        <v>3</v>
      </c>
      <c r="G4" s="35" t="s">
        <v>0</v>
      </c>
      <c r="H4" s="36" t="s">
        <v>4</v>
      </c>
      <c r="I4" s="17"/>
      <c r="J4" s="15"/>
      <c r="K4" s="34" t="s">
        <v>3</v>
      </c>
      <c r="L4" s="35" t="s">
        <v>0</v>
      </c>
      <c r="M4" s="36" t="s">
        <v>4</v>
      </c>
      <c r="N4" s="17"/>
      <c r="R4" t="s">
        <v>34</v>
      </c>
      <c r="S4" t="s">
        <v>76</v>
      </c>
      <c r="T4" t="s">
        <v>77</v>
      </c>
      <c r="U4" t="s">
        <v>78</v>
      </c>
      <c r="V4" t="s">
        <v>79</v>
      </c>
    </row>
    <row r="5" spans="1:22" x14ac:dyDescent="0.25">
      <c r="A5" s="15"/>
      <c r="B5" s="34">
        <v>0</v>
      </c>
      <c r="C5" s="35">
        <v>660</v>
      </c>
      <c r="D5" s="36">
        <v>18</v>
      </c>
      <c r="E5" s="16"/>
      <c r="F5" s="34">
        <v>0</v>
      </c>
      <c r="G5" s="35">
        <v>500</v>
      </c>
      <c r="H5" s="36">
        <v>10</v>
      </c>
      <c r="I5" s="17"/>
      <c r="J5" s="15"/>
      <c r="K5" s="34">
        <v>0</v>
      </c>
      <c r="L5" s="35">
        <f>U7</f>
        <v>600</v>
      </c>
      <c r="M5" s="36">
        <f>V7</f>
        <v>15</v>
      </c>
      <c r="N5" s="17"/>
      <c r="R5">
        <f>G3</f>
        <v>1000</v>
      </c>
      <c r="S5">
        <f>G7</f>
        <v>-8.5714285714285715E-2</v>
      </c>
      <c r="T5">
        <f>H7</f>
        <v>0.84285714285714286</v>
      </c>
      <c r="U5">
        <f>G5</f>
        <v>500</v>
      </c>
      <c r="V5">
        <f>H5</f>
        <v>10</v>
      </c>
    </row>
    <row r="6" spans="1:22" ht="15.75" thickBot="1" x14ac:dyDescent="0.3">
      <c r="A6" s="15"/>
      <c r="B6" s="34">
        <v>350</v>
      </c>
      <c r="C6" s="35">
        <v>630</v>
      </c>
      <c r="D6" s="36">
        <v>405</v>
      </c>
      <c r="E6" s="16"/>
      <c r="F6" s="34">
        <v>350</v>
      </c>
      <c r="G6" s="35">
        <v>470</v>
      </c>
      <c r="H6" s="36">
        <v>305</v>
      </c>
      <c r="I6" s="17"/>
      <c r="J6" s="15"/>
      <c r="K6" s="34">
        <v>350</v>
      </c>
      <c r="L6" s="35">
        <f>U7+S7*350</f>
        <v>570</v>
      </c>
      <c r="M6" s="36">
        <f>V7+T7*350</f>
        <v>367.5</v>
      </c>
      <c r="N6" s="17"/>
      <c r="R6">
        <f>C3</f>
        <v>1320</v>
      </c>
      <c r="S6">
        <f>C7</f>
        <v>-8.5714285714285715E-2</v>
      </c>
      <c r="T6">
        <f>D7</f>
        <v>1.1057142857142856</v>
      </c>
      <c r="U6">
        <f>C5</f>
        <v>660</v>
      </c>
      <c r="V6">
        <f>D5</f>
        <v>18</v>
      </c>
    </row>
    <row r="7" spans="1:22" ht="15.75" thickBot="1" x14ac:dyDescent="0.3">
      <c r="A7" s="15"/>
      <c r="B7" s="37" t="s">
        <v>89</v>
      </c>
      <c r="C7" s="38">
        <f>(C6-C5)/(B6-B5)</f>
        <v>-8.5714285714285715E-2</v>
      </c>
      <c r="D7" s="39">
        <f>(D6-D5)/(B6-B5)</f>
        <v>1.1057142857142856</v>
      </c>
      <c r="E7" s="16"/>
      <c r="F7" s="37" t="s">
        <v>89</v>
      </c>
      <c r="G7" s="38">
        <f>(G6-G5)/(F6-F5)</f>
        <v>-8.5714285714285715E-2</v>
      </c>
      <c r="H7" s="39">
        <f>(H6-H5)/(F6-F5)</f>
        <v>0.84285714285714286</v>
      </c>
      <c r="I7" s="17"/>
      <c r="J7" s="15"/>
      <c r="K7" s="37" t="s">
        <v>89</v>
      </c>
      <c r="L7" s="38">
        <f>(L6-L5)/(K6-K5)</f>
        <v>-8.5714285714285715E-2</v>
      </c>
      <c r="M7" s="39">
        <f>(M6-M5)/(K6-K5)</f>
        <v>1.0071428571428571</v>
      </c>
      <c r="N7" s="17"/>
      <c r="R7">
        <v>1200</v>
      </c>
      <c r="S7">
        <f>TREND(S5:S6,R5:R6,R7)</f>
        <v>-8.5714285714285715E-2</v>
      </c>
      <c r="T7">
        <f>TREND(T5:T6,R5:R6,R7)</f>
        <v>1.0071428571428571</v>
      </c>
      <c r="U7">
        <f>TREND(U5:U6,R5:R6,R7)</f>
        <v>600</v>
      </c>
      <c r="V7">
        <f>TREND(V5:V6,R5:R6,R7)</f>
        <v>15</v>
      </c>
    </row>
    <row r="8" spans="1:22" ht="15.75" thickBot="1" x14ac:dyDescent="0.3">
      <c r="A8" s="18"/>
      <c r="B8" s="19"/>
      <c r="C8" s="19"/>
      <c r="D8" s="19"/>
      <c r="E8" s="19"/>
      <c r="F8" s="19"/>
      <c r="G8" s="19"/>
      <c r="H8" s="19"/>
      <c r="I8" s="20"/>
      <c r="J8" s="18"/>
      <c r="K8" s="19"/>
      <c r="L8" s="19"/>
      <c r="M8" s="19"/>
      <c r="N8" s="20"/>
    </row>
    <row r="9" spans="1:22" x14ac:dyDescent="0.25">
      <c r="A9" s="21" t="s">
        <v>122</v>
      </c>
    </row>
    <row r="11" spans="1:22" x14ac:dyDescent="0.25">
      <c r="A11" s="5" t="s">
        <v>3</v>
      </c>
      <c r="B11" s="5" t="s">
        <v>0</v>
      </c>
      <c r="C11" s="5" t="s">
        <v>4</v>
      </c>
      <c r="D11" s="5" t="s">
        <v>1</v>
      </c>
    </row>
    <row r="12" spans="1:22" x14ac:dyDescent="0.25">
      <c r="A12" s="5">
        <v>20</v>
      </c>
      <c r="B12" s="11">
        <f t="shared" ref="B12:B35" si="0">$L$5+($L$7*A12)</f>
        <v>598.28571428571433</v>
      </c>
      <c r="C12" s="11">
        <f t="shared" ref="C12:C35" si="1">$M$5+($M$7*A12)</f>
        <v>35.142857142857139</v>
      </c>
      <c r="D12" s="33">
        <f>(B12*A12)/(C12*600)</f>
        <v>0.5674796747967481</v>
      </c>
    </row>
    <row r="13" spans="1:22" x14ac:dyDescent="0.25">
      <c r="A13" s="5">
        <v>30</v>
      </c>
      <c r="B13" s="11">
        <f t="shared" si="0"/>
        <v>597.42857142857144</v>
      </c>
      <c r="C13" s="11">
        <f t="shared" si="1"/>
        <v>45.214285714285715</v>
      </c>
      <c r="D13" s="33">
        <f t="shared" ref="D13:D35" si="2">(B13*A13)/(C13*600)</f>
        <v>0.66066350710900479</v>
      </c>
    </row>
    <row r="14" spans="1:22" x14ac:dyDescent="0.25">
      <c r="A14" s="5">
        <v>40</v>
      </c>
      <c r="B14" s="11">
        <f t="shared" si="0"/>
        <v>596.57142857142856</v>
      </c>
      <c r="C14" s="11">
        <f t="shared" si="1"/>
        <v>55.285714285714285</v>
      </c>
      <c r="D14" s="33">
        <f t="shared" si="2"/>
        <v>0.71937984496124019</v>
      </c>
    </row>
    <row r="15" spans="1:22" x14ac:dyDescent="0.25">
      <c r="A15" s="5">
        <v>50</v>
      </c>
      <c r="B15" s="11">
        <f t="shared" si="0"/>
        <v>595.71428571428567</v>
      </c>
      <c r="C15" s="11">
        <f t="shared" si="1"/>
        <v>65.357142857142861</v>
      </c>
      <c r="D15" s="33">
        <f t="shared" si="2"/>
        <v>0.75956284153005449</v>
      </c>
    </row>
    <row r="16" spans="1:22" x14ac:dyDescent="0.25">
      <c r="A16" s="5">
        <v>60</v>
      </c>
      <c r="B16" s="11">
        <f t="shared" si="0"/>
        <v>594.85714285714289</v>
      </c>
      <c r="C16" s="11">
        <f t="shared" si="1"/>
        <v>75.428571428571431</v>
      </c>
      <c r="D16" s="33">
        <f t="shared" si="2"/>
        <v>0.78863636363636369</v>
      </c>
    </row>
    <row r="17" spans="1:4" x14ac:dyDescent="0.25">
      <c r="A17" s="5">
        <v>70</v>
      </c>
      <c r="B17" s="11">
        <f t="shared" si="0"/>
        <v>594</v>
      </c>
      <c r="C17" s="11">
        <f t="shared" si="1"/>
        <v>85.5</v>
      </c>
      <c r="D17" s="33">
        <f t="shared" si="2"/>
        <v>0.81052631578947365</v>
      </c>
    </row>
    <row r="18" spans="1:4" x14ac:dyDescent="0.25">
      <c r="A18" s="5">
        <v>80</v>
      </c>
      <c r="B18" s="11">
        <f t="shared" si="0"/>
        <v>593.14285714285711</v>
      </c>
      <c r="C18" s="11">
        <f t="shared" si="1"/>
        <v>95.571428571428569</v>
      </c>
      <c r="D18" s="33">
        <f t="shared" si="2"/>
        <v>0.82750373692077717</v>
      </c>
    </row>
    <row r="19" spans="1:4" x14ac:dyDescent="0.25">
      <c r="A19" s="5">
        <v>90</v>
      </c>
      <c r="B19" s="11">
        <f t="shared" si="0"/>
        <v>592.28571428571433</v>
      </c>
      <c r="C19" s="11">
        <f t="shared" si="1"/>
        <v>105.64285714285714</v>
      </c>
      <c r="D19" s="33">
        <f t="shared" si="2"/>
        <v>0.84097363083164312</v>
      </c>
    </row>
    <row r="20" spans="1:4" x14ac:dyDescent="0.25">
      <c r="A20" s="5">
        <v>100</v>
      </c>
      <c r="B20" s="11">
        <f t="shared" si="0"/>
        <v>591.42857142857144</v>
      </c>
      <c r="C20" s="11">
        <f t="shared" si="1"/>
        <v>115.71428571428571</v>
      </c>
      <c r="D20" s="33">
        <f t="shared" si="2"/>
        <v>0.85185185185185197</v>
      </c>
    </row>
    <row r="21" spans="1:4" x14ac:dyDescent="0.25">
      <c r="A21" s="5">
        <v>110</v>
      </c>
      <c r="B21" s="11">
        <f t="shared" si="0"/>
        <v>590.57142857142856</v>
      </c>
      <c r="C21" s="11">
        <f t="shared" si="1"/>
        <v>125.78571428571428</v>
      </c>
      <c r="D21" s="33">
        <f t="shared" si="2"/>
        <v>0.8607609312890403</v>
      </c>
    </row>
    <row r="22" spans="1:4" x14ac:dyDescent="0.25">
      <c r="A22" s="5">
        <v>120</v>
      </c>
      <c r="B22" s="11">
        <f t="shared" si="0"/>
        <v>589.71428571428567</v>
      </c>
      <c r="C22" s="11">
        <f t="shared" si="1"/>
        <v>135.85714285714286</v>
      </c>
      <c r="D22" s="33">
        <f t="shared" si="2"/>
        <v>0.86813880126182952</v>
      </c>
    </row>
    <row r="23" spans="1:4" x14ac:dyDescent="0.25">
      <c r="A23" s="5">
        <v>130</v>
      </c>
      <c r="B23" s="11">
        <f t="shared" si="0"/>
        <v>588.85714285714289</v>
      </c>
      <c r="C23" s="11">
        <f t="shared" si="1"/>
        <v>145.92857142857142</v>
      </c>
      <c r="D23" s="33">
        <f t="shared" si="2"/>
        <v>0.8743024963289282</v>
      </c>
    </row>
    <row r="24" spans="1:4" x14ac:dyDescent="0.25">
      <c r="A24" s="5">
        <v>140</v>
      </c>
      <c r="B24" s="11">
        <f t="shared" si="0"/>
        <v>588</v>
      </c>
      <c r="C24" s="11">
        <f t="shared" si="1"/>
        <v>156</v>
      </c>
      <c r="D24" s="33">
        <f t="shared" si="2"/>
        <v>0.87948717948717947</v>
      </c>
    </row>
    <row r="25" spans="1:4" x14ac:dyDescent="0.25">
      <c r="A25" s="5">
        <v>150</v>
      </c>
      <c r="B25" s="11">
        <f t="shared" si="0"/>
        <v>587.14285714285711</v>
      </c>
      <c r="C25" s="11">
        <f t="shared" si="1"/>
        <v>166.07142857142856</v>
      </c>
      <c r="D25" s="33">
        <f t="shared" si="2"/>
        <v>0.88387096774193552</v>
      </c>
    </row>
    <row r="26" spans="1:4" x14ac:dyDescent="0.25">
      <c r="A26" s="5">
        <v>160</v>
      </c>
      <c r="B26" s="11">
        <f t="shared" si="0"/>
        <v>586.28571428571433</v>
      </c>
      <c r="C26" s="11">
        <f t="shared" si="1"/>
        <v>176.14285714285714</v>
      </c>
      <c r="D26" s="33">
        <f t="shared" si="2"/>
        <v>0.88759124087591246</v>
      </c>
    </row>
    <row r="27" spans="1:4" x14ac:dyDescent="0.25">
      <c r="A27" s="5">
        <v>170</v>
      </c>
      <c r="B27" s="11">
        <f t="shared" si="0"/>
        <v>585.42857142857144</v>
      </c>
      <c r="C27" s="11">
        <f t="shared" si="1"/>
        <v>186.21428571428572</v>
      </c>
      <c r="D27" s="33">
        <f t="shared" si="2"/>
        <v>0.89075565784426536</v>
      </c>
    </row>
    <row r="28" spans="1:4" x14ac:dyDescent="0.25">
      <c r="A28" s="5">
        <v>180</v>
      </c>
      <c r="B28" s="11">
        <f t="shared" si="0"/>
        <v>584.57142857142856</v>
      </c>
      <c r="C28" s="11">
        <f t="shared" si="1"/>
        <v>196.28571428571428</v>
      </c>
      <c r="D28" s="33">
        <f t="shared" si="2"/>
        <v>0.89344978165938871</v>
      </c>
    </row>
    <row r="29" spans="1:4" x14ac:dyDescent="0.25">
      <c r="A29" s="5">
        <v>190</v>
      </c>
      <c r="B29" s="11">
        <f t="shared" si="0"/>
        <v>583.71428571428567</v>
      </c>
      <c r="C29" s="11">
        <f t="shared" si="1"/>
        <v>206.35714285714286</v>
      </c>
      <c r="D29" s="33">
        <f t="shared" si="2"/>
        <v>0.89574247144340602</v>
      </c>
    </row>
    <row r="30" spans="1:4" x14ac:dyDescent="0.25">
      <c r="A30" s="5">
        <v>200</v>
      </c>
      <c r="B30" s="11">
        <f t="shared" si="0"/>
        <v>582.85714285714289</v>
      </c>
      <c r="C30" s="11">
        <f t="shared" si="1"/>
        <v>216.42857142857142</v>
      </c>
      <c r="D30" s="33">
        <f t="shared" si="2"/>
        <v>0.89768976897689778</v>
      </c>
    </row>
    <row r="31" spans="1:4" x14ac:dyDescent="0.25">
      <c r="A31" s="5">
        <v>210</v>
      </c>
      <c r="B31" s="11">
        <f t="shared" si="0"/>
        <v>582</v>
      </c>
      <c r="C31" s="11">
        <f t="shared" si="1"/>
        <v>226.5</v>
      </c>
      <c r="D31" s="33">
        <f t="shared" si="2"/>
        <v>0.89933774834437086</v>
      </c>
    </row>
    <row r="32" spans="1:4" x14ac:dyDescent="0.25">
      <c r="A32" s="5">
        <v>220</v>
      </c>
      <c r="B32" s="11">
        <f t="shared" si="0"/>
        <v>581.14285714285711</v>
      </c>
      <c r="C32" s="11">
        <f t="shared" si="1"/>
        <v>236.57142857142856</v>
      </c>
      <c r="D32" s="33">
        <f t="shared" si="2"/>
        <v>0.9007246376811594</v>
      </c>
    </row>
    <row r="33" spans="1:4" x14ac:dyDescent="0.25">
      <c r="A33" s="5">
        <v>230</v>
      </c>
      <c r="B33" s="11">
        <f t="shared" si="0"/>
        <v>580.28571428571433</v>
      </c>
      <c r="C33" s="11">
        <f t="shared" si="1"/>
        <v>246.64285714285714</v>
      </c>
      <c r="D33" s="33">
        <f t="shared" si="2"/>
        <v>0.90188242108311611</v>
      </c>
    </row>
    <row r="34" spans="1:4" x14ac:dyDescent="0.25">
      <c r="A34" s="5">
        <v>240</v>
      </c>
      <c r="B34" s="11">
        <f t="shared" si="0"/>
        <v>579.42857142857144</v>
      </c>
      <c r="C34" s="11">
        <f t="shared" si="1"/>
        <v>256.71428571428572</v>
      </c>
      <c r="D34" s="33">
        <f t="shared" si="2"/>
        <v>0.90283806343906525</v>
      </c>
    </row>
    <row r="35" spans="1:4" x14ac:dyDescent="0.25">
      <c r="A35" s="5">
        <v>250</v>
      </c>
      <c r="B35" s="11">
        <f t="shared" si="0"/>
        <v>578.57142857142856</v>
      </c>
      <c r="C35" s="11">
        <f t="shared" si="1"/>
        <v>266.78571428571428</v>
      </c>
      <c r="D35" s="33">
        <f t="shared" si="2"/>
        <v>0.90361445783132521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zoomScale="90" zoomScaleNormal="90" workbookViewId="0">
      <selection activeCell="A9" sqref="A9"/>
    </sheetView>
  </sheetViews>
  <sheetFormatPr defaultRowHeight="15" x14ac:dyDescent="0.25"/>
  <sheetData>
    <row r="1" spans="1:22" ht="15.75" thickBot="1" x14ac:dyDescent="0.3">
      <c r="A1" t="s">
        <v>93</v>
      </c>
    </row>
    <row r="2" spans="1:22" ht="15.75" thickBot="1" x14ac:dyDescent="0.3">
      <c r="A2" s="12" t="s">
        <v>2</v>
      </c>
      <c r="B2" s="13"/>
      <c r="C2" s="13"/>
      <c r="D2" s="13"/>
      <c r="E2" s="13"/>
      <c r="F2" s="13"/>
      <c r="G2" s="13"/>
      <c r="H2" s="13"/>
      <c r="I2" s="14"/>
      <c r="J2" s="12" t="s">
        <v>88</v>
      </c>
      <c r="K2" s="13"/>
      <c r="L2" s="13"/>
      <c r="M2" s="13"/>
      <c r="N2" s="14"/>
    </row>
    <row r="3" spans="1:22" ht="15.75" thickBot="1" x14ac:dyDescent="0.3">
      <c r="A3" s="15"/>
      <c r="B3" s="37" t="s">
        <v>74</v>
      </c>
      <c r="C3" s="38">
        <v>1200</v>
      </c>
      <c r="D3" s="39"/>
      <c r="E3" s="16"/>
      <c r="F3" s="37" t="s">
        <v>74</v>
      </c>
      <c r="G3" s="38">
        <v>1000</v>
      </c>
      <c r="H3" s="39"/>
      <c r="I3" s="17"/>
      <c r="J3" s="15"/>
      <c r="K3" s="37" t="s">
        <v>75</v>
      </c>
      <c r="L3" s="38">
        <v>1200</v>
      </c>
      <c r="M3" s="39"/>
      <c r="N3" s="17"/>
    </row>
    <row r="4" spans="1:22" x14ac:dyDescent="0.25">
      <c r="A4" s="15"/>
      <c r="B4" s="34" t="s">
        <v>3</v>
      </c>
      <c r="C4" s="35" t="s">
        <v>0</v>
      </c>
      <c r="D4" s="36" t="s">
        <v>4</v>
      </c>
      <c r="E4" s="16"/>
      <c r="F4" s="34" t="s">
        <v>3</v>
      </c>
      <c r="G4" s="35" t="s">
        <v>0</v>
      </c>
      <c r="H4" s="36" t="s">
        <v>4</v>
      </c>
      <c r="I4" s="17"/>
      <c r="J4" s="15"/>
      <c r="K4" s="34" t="s">
        <v>3</v>
      </c>
      <c r="L4" s="35" t="s">
        <v>0</v>
      </c>
      <c r="M4" s="36" t="s">
        <v>4</v>
      </c>
      <c r="N4" s="17"/>
      <c r="R4" t="s">
        <v>34</v>
      </c>
      <c r="S4" t="s">
        <v>76</v>
      </c>
      <c r="T4" t="s">
        <v>77</v>
      </c>
      <c r="U4" t="s">
        <v>78</v>
      </c>
      <c r="V4" t="s">
        <v>79</v>
      </c>
    </row>
    <row r="5" spans="1:22" x14ac:dyDescent="0.25">
      <c r="A5" s="15"/>
      <c r="B5" s="34">
        <v>0</v>
      </c>
      <c r="C5" s="35">
        <v>900</v>
      </c>
      <c r="D5" s="44">
        <v>20</v>
      </c>
      <c r="E5" s="16"/>
      <c r="F5" s="34">
        <v>0</v>
      </c>
      <c r="G5" s="35">
        <v>750</v>
      </c>
      <c r="H5" s="44">
        <v>15</v>
      </c>
      <c r="I5" s="17"/>
      <c r="J5" s="15"/>
      <c r="K5" s="34">
        <v>0</v>
      </c>
      <c r="L5" s="35">
        <f>U7</f>
        <v>900</v>
      </c>
      <c r="M5" s="36">
        <f>V7</f>
        <v>20</v>
      </c>
      <c r="N5" s="17"/>
      <c r="R5">
        <f>G3</f>
        <v>1000</v>
      </c>
      <c r="S5">
        <f>G7</f>
        <v>-0.1</v>
      </c>
      <c r="T5">
        <f>H7</f>
        <v>1.2485714285714287</v>
      </c>
      <c r="U5">
        <f>G5</f>
        <v>750</v>
      </c>
      <c r="V5">
        <f>H5</f>
        <v>15</v>
      </c>
    </row>
    <row r="6" spans="1:22" ht="15.75" thickBot="1" x14ac:dyDescent="0.3">
      <c r="A6" s="15"/>
      <c r="B6" s="34">
        <v>350</v>
      </c>
      <c r="C6" s="35">
        <v>855</v>
      </c>
      <c r="D6" s="36">
        <v>555</v>
      </c>
      <c r="E6" s="16"/>
      <c r="F6" s="34">
        <v>350</v>
      </c>
      <c r="G6" s="35">
        <v>715</v>
      </c>
      <c r="H6" s="36">
        <v>452</v>
      </c>
      <c r="I6" s="17"/>
      <c r="J6" s="15"/>
      <c r="K6" s="34">
        <v>350</v>
      </c>
      <c r="L6" s="35">
        <f>U7+S7*350</f>
        <v>855</v>
      </c>
      <c r="M6" s="36">
        <f>V7+T7*350</f>
        <v>555</v>
      </c>
      <c r="N6" s="17"/>
      <c r="R6">
        <f>C3</f>
        <v>1200</v>
      </c>
      <c r="S6">
        <f>C7</f>
        <v>-0.12857142857142856</v>
      </c>
      <c r="T6">
        <f>D7</f>
        <v>1.5285714285714285</v>
      </c>
      <c r="U6">
        <f>C5</f>
        <v>900</v>
      </c>
      <c r="V6">
        <f>D5</f>
        <v>20</v>
      </c>
    </row>
    <row r="7" spans="1:22" ht="15.75" thickBot="1" x14ac:dyDescent="0.3">
      <c r="A7" s="15"/>
      <c r="B7" s="37" t="s">
        <v>89</v>
      </c>
      <c r="C7" s="38">
        <f>(C6-C5)/(B6-B5)</f>
        <v>-0.12857142857142856</v>
      </c>
      <c r="D7" s="39">
        <f>(D6-D5)/(B6-B5)</f>
        <v>1.5285714285714285</v>
      </c>
      <c r="E7" s="16"/>
      <c r="F7" s="37" t="s">
        <v>89</v>
      </c>
      <c r="G7" s="38">
        <f>(G6-G5)/(F6-F5)</f>
        <v>-0.1</v>
      </c>
      <c r="H7" s="39">
        <f>(H6-H5)/(F6-F5)</f>
        <v>1.2485714285714287</v>
      </c>
      <c r="I7" s="17"/>
      <c r="J7" s="15"/>
      <c r="K7" s="37" t="s">
        <v>89</v>
      </c>
      <c r="L7" s="38">
        <f>(L6-L5)/(K6-K5)</f>
        <v>-0.12857142857142856</v>
      </c>
      <c r="M7" s="39">
        <f>(M6-M5)/(K6-K5)</f>
        <v>1.5285714285714285</v>
      </c>
      <c r="N7" s="17"/>
      <c r="R7">
        <v>1200</v>
      </c>
      <c r="S7">
        <f>TREND(S5:S6,R5:R6,R7)</f>
        <v>-0.12857142857142856</v>
      </c>
      <c r="T7">
        <f>TREND(T5:T6,R5:R6,R7)</f>
        <v>1.5285714285714285</v>
      </c>
      <c r="U7">
        <f>TREND(U5:U6,R5:R6,R7)</f>
        <v>900</v>
      </c>
      <c r="V7">
        <f>TREND(V5:V6,R5:R6,R7)</f>
        <v>20</v>
      </c>
    </row>
    <row r="8" spans="1:22" ht="15.75" thickBot="1" x14ac:dyDescent="0.3">
      <c r="A8" s="18"/>
      <c r="B8" s="19"/>
      <c r="C8" s="19"/>
      <c r="D8" s="19"/>
      <c r="E8" s="19"/>
      <c r="F8" s="19"/>
      <c r="G8" s="19"/>
      <c r="H8" s="19"/>
      <c r="I8" s="20"/>
      <c r="J8" s="18"/>
      <c r="K8" s="19"/>
      <c r="L8" s="19"/>
      <c r="M8" s="19"/>
      <c r="N8" s="20"/>
    </row>
    <row r="9" spans="1:22" x14ac:dyDescent="0.25">
      <c r="A9" s="21" t="s">
        <v>122</v>
      </c>
    </row>
    <row r="11" spans="1:22" x14ac:dyDescent="0.25">
      <c r="A11" s="5" t="s">
        <v>3</v>
      </c>
      <c r="B11" s="5" t="s">
        <v>0</v>
      </c>
      <c r="C11" s="5" t="s">
        <v>4</v>
      </c>
      <c r="D11" s="5" t="s">
        <v>1</v>
      </c>
    </row>
    <row r="12" spans="1:22" x14ac:dyDescent="0.25">
      <c r="A12" s="5">
        <v>20</v>
      </c>
      <c r="B12" s="11">
        <f t="shared" ref="B12:B35" si="0">$L$5+($L$7*A12)</f>
        <v>897.42857142857144</v>
      </c>
      <c r="C12" s="11">
        <f t="shared" ref="C12:C35" si="1">$M$5+($M$7*A12)</f>
        <v>50.571428571428569</v>
      </c>
      <c r="D12" s="33">
        <f>(B12*A12)/(C12*600)</f>
        <v>0.59152542372881356</v>
      </c>
    </row>
    <row r="13" spans="1:22" x14ac:dyDescent="0.25">
      <c r="A13" s="5">
        <v>30</v>
      </c>
      <c r="B13" s="11">
        <f t="shared" si="0"/>
        <v>896.14285714285711</v>
      </c>
      <c r="C13" s="11">
        <f t="shared" si="1"/>
        <v>65.857142857142861</v>
      </c>
      <c r="D13" s="33">
        <f t="shared" ref="D13:D35" si="2">(B13*A13)/(C13*600)</f>
        <v>0.68036876355748366</v>
      </c>
    </row>
    <row r="14" spans="1:22" x14ac:dyDescent="0.25">
      <c r="A14" s="5">
        <v>40</v>
      </c>
      <c r="B14" s="11">
        <f t="shared" si="0"/>
        <v>894.85714285714289</v>
      </c>
      <c r="C14" s="11">
        <f t="shared" si="1"/>
        <v>81.142857142857139</v>
      </c>
      <c r="D14" s="33">
        <f t="shared" si="2"/>
        <v>0.73521126760563393</v>
      </c>
    </row>
    <row r="15" spans="1:22" x14ac:dyDescent="0.25">
      <c r="A15" s="5">
        <v>50</v>
      </c>
      <c r="B15" s="11">
        <f t="shared" si="0"/>
        <v>893.57142857142856</v>
      </c>
      <c r="C15" s="11">
        <f t="shared" si="1"/>
        <v>96.428571428571416</v>
      </c>
      <c r="D15" s="33">
        <f t="shared" si="2"/>
        <v>0.77222222222222237</v>
      </c>
    </row>
    <row r="16" spans="1:22" x14ac:dyDescent="0.25">
      <c r="A16" s="5">
        <v>60</v>
      </c>
      <c r="B16" s="11">
        <f t="shared" si="0"/>
        <v>892.28571428571433</v>
      </c>
      <c r="C16" s="11">
        <f t="shared" si="1"/>
        <v>111.71428571428571</v>
      </c>
      <c r="D16" s="33">
        <f t="shared" si="2"/>
        <v>0.79872122762148356</v>
      </c>
    </row>
    <row r="17" spans="1:4" x14ac:dyDescent="0.25">
      <c r="A17" s="5">
        <v>70</v>
      </c>
      <c r="B17" s="11">
        <f t="shared" si="0"/>
        <v>891</v>
      </c>
      <c r="C17" s="11">
        <f t="shared" si="1"/>
        <v>127</v>
      </c>
      <c r="D17" s="33">
        <f t="shared" si="2"/>
        <v>0.81850393700787405</v>
      </c>
    </row>
    <row r="18" spans="1:4" x14ac:dyDescent="0.25">
      <c r="A18" s="5">
        <v>80</v>
      </c>
      <c r="B18" s="11">
        <f t="shared" si="0"/>
        <v>889.71428571428567</v>
      </c>
      <c r="C18" s="11">
        <f t="shared" si="1"/>
        <v>142.28571428571428</v>
      </c>
      <c r="D18" s="33">
        <f t="shared" si="2"/>
        <v>0.83373493975903623</v>
      </c>
    </row>
    <row r="19" spans="1:4" x14ac:dyDescent="0.25">
      <c r="A19" s="5">
        <v>90</v>
      </c>
      <c r="B19" s="11">
        <f t="shared" si="0"/>
        <v>888.42857142857144</v>
      </c>
      <c r="C19" s="11">
        <f t="shared" si="1"/>
        <v>157.57142857142856</v>
      </c>
      <c r="D19" s="33">
        <f t="shared" si="2"/>
        <v>0.84573889392565749</v>
      </c>
    </row>
    <row r="20" spans="1:4" x14ac:dyDescent="0.25">
      <c r="A20" s="5">
        <v>100</v>
      </c>
      <c r="B20" s="11">
        <f t="shared" si="0"/>
        <v>887.14285714285711</v>
      </c>
      <c r="C20" s="11">
        <f t="shared" si="1"/>
        <v>172.85714285714283</v>
      </c>
      <c r="D20" s="33">
        <f t="shared" si="2"/>
        <v>0.85537190082644643</v>
      </c>
    </row>
    <row r="21" spans="1:4" x14ac:dyDescent="0.25">
      <c r="A21" s="5">
        <v>110</v>
      </c>
      <c r="B21" s="11">
        <f t="shared" si="0"/>
        <v>885.85714285714289</v>
      </c>
      <c r="C21" s="11">
        <f t="shared" si="1"/>
        <v>188.14285714285714</v>
      </c>
      <c r="D21" s="33">
        <f t="shared" si="2"/>
        <v>0.8632118451025057</v>
      </c>
    </row>
    <row r="22" spans="1:4" x14ac:dyDescent="0.25">
      <c r="A22" s="5">
        <v>120</v>
      </c>
      <c r="B22" s="11">
        <f t="shared" si="0"/>
        <v>884.57142857142856</v>
      </c>
      <c r="C22" s="11">
        <f t="shared" si="1"/>
        <v>203.42857142857142</v>
      </c>
      <c r="D22" s="33">
        <f t="shared" si="2"/>
        <v>0.86966292134831458</v>
      </c>
    </row>
    <row r="23" spans="1:4" x14ac:dyDescent="0.25">
      <c r="A23" s="5">
        <v>130</v>
      </c>
      <c r="B23" s="11">
        <f t="shared" si="0"/>
        <v>883.28571428571433</v>
      </c>
      <c r="C23" s="11">
        <f t="shared" si="1"/>
        <v>218.71428571428569</v>
      </c>
      <c r="D23" s="33">
        <f t="shared" si="2"/>
        <v>0.87501632919660366</v>
      </c>
    </row>
    <row r="24" spans="1:4" x14ac:dyDescent="0.25">
      <c r="A24" s="5">
        <v>140</v>
      </c>
      <c r="B24" s="11">
        <f t="shared" si="0"/>
        <v>882</v>
      </c>
      <c r="C24" s="11">
        <f t="shared" si="1"/>
        <v>234</v>
      </c>
      <c r="D24" s="33">
        <f t="shared" si="2"/>
        <v>0.87948717948717947</v>
      </c>
    </row>
    <row r="25" spans="1:4" x14ac:dyDescent="0.25">
      <c r="A25" s="5">
        <v>150</v>
      </c>
      <c r="B25" s="11">
        <f t="shared" si="0"/>
        <v>880.71428571428567</v>
      </c>
      <c r="C25" s="11">
        <f t="shared" si="1"/>
        <v>249.28571428571428</v>
      </c>
      <c r="D25" s="33">
        <f t="shared" si="2"/>
        <v>0.88323782234957005</v>
      </c>
    </row>
    <row r="26" spans="1:4" x14ac:dyDescent="0.25">
      <c r="A26" s="5">
        <v>160</v>
      </c>
      <c r="B26" s="11">
        <f t="shared" si="0"/>
        <v>879.42857142857144</v>
      </c>
      <c r="C26" s="11">
        <f t="shared" si="1"/>
        <v>264.57142857142856</v>
      </c>
      <c r="D26" s="33">
        <f t="shared" si="2"/>
        <v>0.88639308855291576</v>
      </c>
    </row>
    <row r="27" spans="1:4" x14ac:dyDescent="0.25">
      <c r="A27" s="5">
        <v>170</v>
      </c>
      <c r="B27" s="11">
        <f t="shared" si="0"/>
        <v>878.14285714285711</v>
      </c>
      <c r="C27" s="11">
        <f t="shared" si="1"/>
        <v>279.85714285714283</v>
      </c>
      <c r="D27" s="33">
        <f t="shared" si="2"/>
        <v>0.88905053598774886</v>
      </c>
    </row>
    <row r="28" spans="1:4" x14ac:dyDescent="0.25">
      <c r="A28" s="5">
        <v>180</v>
      </c>
      <c r="B28" s="11">
        <f t="shared" si="0"/>
        <v>876.85714285714289</v>
      </c>
      <c r="C28" s="11">
        <f t="shared" si="1"/>
        <v>295.14285714285711</v>
      </c>
      <c r="D28" s="33">
        <f t="shared" si="2"/>
        <v>0.89128751210067769</v>
      </c>
    </row>
    <row r="29" spans="1:4" x14ac:dyDescent="0.25">
      <c r="A29" s="5">
        <v>190</v>
      </c>
      <c r="B29" s="11">
        <f t="shared" si="0"/>
        <v>875.57142857142856</v>
      </c>
      <c r="C29" s="11">
        <f t="shared" si="1"/>
        <v>310.42857142857139</v>
      </c>
      <c r="D29" s="33">
        <f t="shared" si="2"/>
        <v>0.89316612977450538</v>
      </c>
    </row>
    <row r="30" spans="1:4" x14ac:dyDescent="0.25">
      <c r="A30" s="5">
        <v>200</v>
      </c>
      <c r="B30" s="11">
        <f t="shared" si="0"/>
        <v>874.28571428571433</v>
      </c>
      <c r="C30" s="11">
        <f t="shared" si="1"/>
        <v>325.71428571428567</v>
      </c>
      <c r="D30" s="33">
        <f t="shared" si="2"/>
        <v>0.89473684210526339</v>
      </c>
    </row>
    <row r="31" spans="1:4" x14ac:dyDescent="0.25">
      <c r="A31" s="5">
        <v>210</v>
      </c>
      <c r="B31" s="11">
        <f t="shared" si="0"/>
        <v>873</v>
      </c>
      <c r="C31" s="11">
        <f t="shared" si="1"/>
        <v>341</v>
      </c>
      <c r="D31" s="33">
        <f t="shared" si="2"/>
        <v>0.89604105571847503</v>
      </c>
    </row>
    <row r="32" spans="1:4" x14ac:dyDescent="0.25">
      <c r="A32" s="5">
        <v>220</v>
      </c>
      <c r="B32" s="11">
        <f t="shared" si="0"/>
        <v>871.71428571428567</v>
      </c>
      <c r="C32" s="11">
        <f t="shared" si="1"/>
        <v>356.28571428571428</v>
      </c>
      <c r="D32" s="33">
        <f t="shared" si="2"/>
        <v>0.89711307137129104</v>
      </c>
    </row>
    <row r="33" spans="1:4" x14ac:dyDescent="0.25">
      <c r="A33" s="5">
        <v>230</v>
      </c>
      <c r="B33" s="11">
        <f t="shared" si="0"/>
        <v>870.42857142857144</v>
      </c>
      <c r="C33" s="11">
        <f t="shared" si="1"/>
        <v>371.57142857142856</v>
      </c>
      <c r="D33" s="33">
        <f t="shared" si="2"/>
        <v>0.89798154555940024</v>
      </c>
    </row>
    <row r="34" spans="1:4" x14ac:dyDescent="0.25">
      <c r="A34" s="5">
        <v>240</v>
      </c>
      <c r="B34" s="11">
        <f t="shared" si="0"/>
        <v>869.14285714285711</v>
      </c>
      <c r="C34" s="11">
        <f t="shared" si="1"/>
        <v>386.85714285714283</v>
      </c>
      <c r="D34" s="33">
        <f t="shared" si="2"/>
        <v>0.8986706056129985</v>
      </c>
    </row>
    <row r="35" spans="1:4" x14ac:dyDescent="0.25">
      <c r="A35" s="5">
        <v>250</v>
      </c>
      <c r="B35" s="11">
        <f t="shared" si="0"/>
        <v>867.85714285714289</v>
      </c>
      <c r="C35" s="11">
        <f t="shared" si="1"/>
        <v>402.14285714285711</v>
      </c>
      <c r="D35" s="33">
        <f t="shared" si="2"/>
        <v>0.89920071047957384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zoomScale="90" zoomScaleNormal="90" workbookViewId="0">
      <selection activeCell="C39" sqref="C39"/>
    </sheetView>
  </sheetViews>
  <sheetFormatPr defaultRowHeight="15" x14ac:dyDescent="0.25"/>
  <sheetData>
    <row r="1" spans="1:22" ht="15.75" thickBot="1" x14ac:dyDescent="0.3">
      <c r="A1" t="s">
        <v>93</v>
      </c>
    </row>
    <row r="2" spans="1:22" ht="15.75" thickBot="1" x14ac:dyDescent="0.3">
      <c r="A2" s="12" t="s">
        <v>2</v>
      </c>
      <c r="B2" s="13"/>
      <c r="C2" s="13"/>
      <c r="D2" s="13"/>
      <c r="E2" s="13"/>
      <c r="F2" s="13"/>
      <c r="G2" s="13"/>
      <c r="H2" s="13"/>
      <c r="I2" s="14"/>
      <c r="J2" s="12" t="s">
        <v>88</v>
      </c>
      <c r="K2" s="13"/>
      <c r="L2" s="13"/>
      <c r="M2" s="13"/>
      <c r="N2" s="14"/>
    </row>
    <row r="3" spans="1:22" ht="15.75" thickBot="1" x14ac:dyDescent="0.3">
      <c r="A3" s="15"/>
      <c r="B3" s="37" t="s">
        <v>74</v>
      </c>
      <c r="C3" s="38">
        <v>1200</v>
      </c>
      <c r="D3" s="39"/>
      <c r="E3" s="16"/>
      <c r="F3" s="37" t="s">
        <v>74</v>
      </c>
      <c r="G3" s="38">
        <v>1000</v>
      </c>
      <c r="H3" s="39"/>
      <c r="I3" s="17"/>
      <c r="J3" s="15"/>
      <c r="K3" s="37" t="s">
        <v>75</v>
      </c>
      <c r="L3" s="38">
        <v>1200</v>
      </c>
      <c r="M3" s="39"/>
      <c r="N3" s="17"/>
    </row>
    <row r="4" spans="1:22" x14ac:dyDescent="0.25">
      <c r="A4" s="15"/>
      <c r="B4" s="34" t="s">
        <v>3</v>
      </c>
      <c r="C4" s="35" t="s">
        <v>0</v>
      </c>
      <c r="D4" s="36" t="s">
        <v>4</v>
      </c>
      <c r="E4" s="16"/>
      <c r="F4" s="34" t="s">
        <v>3</v>
      </c>
      <c r="G4" s="35" t="s">
        <v>0</v>
      </c>
      <c r="H4" s="36" t="s">
        <v>4</v>
      </c>
      <c r="I4" s="17"/>
      <c r="J4" s="15"/>
      <c r="K4" s="34" t="s">
        <v>3</v>
      </c>
      <c r="L4" s="35" t="s">
        <v>0</v>
      </c>
      <c r="M4" s="36" t="s">
        <v>4</v>
      </c>
      <c r="N4" s="17"/>
      <c r="R4" t="s">
        <v>34</v>
      </c>
      <c r="S4" t="s">
        <v>76</v>
      </c>
      <c r="T4" t="s">
        <v>77</v>
      </c>
      <c r="U4" t="s">
        <v>78</v>
      </c>
      <c r="V4" t="s">
        <v>79</v>
      </c>
    </row>
    <row r="5" spans="1:22" x14ac:dyDescent="0.25">
      <c r="A5" s="15"/>
      <c r="B5" s="34">
        <v>0</v>
      </c>
      <c r="C5" s="35">
        <v>1200</v>
      </c>
      <c r="D5" s="36">
        <v>36</v>
      </c>
      <c r="E5" s="16"/>
      <c r="F5" s="34">
        <v>0</v>
      </c>
      <c r="G5" s="35">
        <v>1000</v>
      </c>
      <c r="H5" s="36">
        <v>20</v>
      </c>
      <c r="I5" s="17"/>
      <c r="J5" s="15"/>
      <c r="K5" s="34">
        <v>0</v>
      </c>
      <c r="L5" s="35">
        <f>U7</f>
        <v>1200</v>
      </c>
      <c r="M5" s="36">
        <f>V7</f>
        <v>36</v>
      </c>
      <c r="N5" s="17"/>
      <c r="R5">
        <f>G3</f>
        <v>1000</v>
      </c>
      <c r="S5">
        <f>G7</f>
        <v>-0.81428571428571428</v>
      </c>
      <c r="T5">
        <f>H7</f>
        <v>1.7142857142857142</v>
      </c>
      <c r="U5">
        <f>G5</f>
        <v>1000</v>
      </c>
      <c r="V5">
        <f>H5</f>
        <v>20</v>
      </c>
    </row>
    <row r="6" spans="1:22" ht="15.75" thickBot="1" x14ac:dyDescent="0.3">
      <c r="A6" s="15"/>
      <c r="B6" s="34">
        <v>350</v>
      </c>
      <c r="C6" s="35">
        <v>1140</v>
      </c>
      <c r="D6" s="36">
        <v>775</v>
      </c>
      <c r="E6" s="16"/>
      <c r="F6" s="34">
        <v>350</v>
      </c>
      <c r="G6" s="35">
        <v>715</v>
      </c>
      <c r="H6" s="36">
        <v>620</v>
      </c>
      <c r="I6" s="17"/>
      <c r="J6" s="15"/>
      <c r="K6" s="34">
        <v>350</v>
      </c>
      <c r="L6" s="35">
        <f>U7+S7*350</f>
        <v>1140</v>
      </c>
      <c r="M6" s="36">
        <f>V7+T7*350</f>
        <v>774.99999999999989</v>
      </c>
      <c r="N6" s="17"/>
      <c r="R6">
        <f>C3</f>
        <v>1200</v>
      </c>
      <c r="S6">
        <f>C7</f>
        <v>-0.17142857142857143</v>
      </c>
      <c r="T6">
        <f>D7</f>
        <v>2.1114285714285712</v>
      </c>
      <c r="U6">
        <f>C5</f>
        <v>1200</v>
      </c>
      <c r="V6">
        <f>D5</f>
        <v>36</v>
      </c>
    </row>
    <row r="7" spans="1:22" ht="15.75" thickBot="1" x14ac:dyDescent="0.3">
      <c r="A7" s="15"/>
      <c r="B7" s="37" t="s">
        <v>89</v>
      </c>
      <c r="C7" s="38">
        <f>(C6-C5)/(B6-B5)</f>
        <v>-0.17142857142857143</v>
      </c>
      <c r="D7" s="39">
        <f>(D6-D5)/(B6-B5)</f>
        <v>2.1114285714285712</v>
      </c>
      <c r="E7" s="16"/>
      <c r="F7" s="37" t="s">
        <v>89</v>
      </c>
      <c r="G7" s="38">
        <f>(G6-G5)/(F6-F5)</f>
        <v>-0.81428571428571428</v>
      </c>
      <c r="H7" s="39">
        <f>(H6-H5)/(F6-F5)</f>
        <v>1.7142857142857142</v>
      </c>
      <c r="I7" s="17"/>
      <c r="J7" s="15"/>
      <c r="K7" s="37" t="s">
        <v>89</v>
      </c>
      <c r="L7" s="38">
        <f>(L6-L5)/(K6-K5)</f>
        <v>-0.17142857142857143</v>
      </c>
      <c r="M7" s="39">
        <f>(M6-M5)/(K6-K5)</f>
        <v>2.1114285714285712</v>
      </c>
      <c r="N7" s="17"/>
      <c r="R7">
        <v>1200</v>
      </c>
      <c r="S7">
        <f>TREND(S5:S6,R5:R6,R7)</f>
        <v>-0.17142857142857171</v>
      </c>
      <c r="T7">
        <f>TREND(T5:T6,R5:R6,R7)</f>
        <v>2.1114285714285712</v>
      </c>
      <c r="U7">
        <f>TREND(U5:U6,R5:R6,R7)</f>
        <v>1200</v>
      </c>
      <c r="V7">
        <f>TREND(V5:V6,R5:R6,R7)</f>
        <v>36</v>
      </c>
    </row>
    <row r="8" spans="1:22" ht="15.75" thickBot="1" x14ac:dyDescent="0.3">
      <c r="A8" s="18"/>
      <c r="B8" s="19"/>
      <c r="C8" s="19"/>
      <c r="D8" s="19"/>
      <c r="E8" s="19"/>
      <c r="F8" s="19"/>
      <c r="G8" s="19"/>
      <c r="H8" s="19"/>
      <c r="I8" s="20"/>
      <c r="J8" s="18"/>
      <c r="K8" s="19"/>
      <c r="L8" s="19"/>
      <c r="M8" s="19"/>
      <c r="N8" s="20"/>
    </row>
    <row r="9" spans="1:22" x14ac:dyDescent="0.25">
      <c r="A9" s="21" t="s">
        <v>122</v>
      </c>
    </row>
    <row r="11" spans="1:22" x14ac:dyDescent="0.25">
      <c r="A11" s="5" t="s">
        <v>3</v>
      </c>
      <c r="B11" s="5" t="s">
        <v>0</v>
      </c>
      <c r="C11" s="5" t="s">
        <v>4</v>
      </c>
      <c r="D11" s="5" t="s">
        <v>1</v>
      </c>
    </row>
    <row r="12" spans="1:22" x14ac:dyDescent="0.25">
      <c r="A12" s="5">
        <v>20</v>
      </c>
      <c r="B12" s="11">
        <f t="shared" ref="B12:B35" si="0">$L$5+($L$7*A12)</f>
        <v>1196.5714285714287</v>
      </c>
      <c r="C12" s="11">
        <f t="shared" ref="C12:C35" si="1">$M$5+($M$7*A12)</f>
        <v>78.228571428571428</v>
      </c>
      <c r="D12" s="33">
        <f>(B12*A12)/(C12*600)</f>
        <v>0.50986121256391526</v>
      </c>
    </row>
    <row r="13" spans="1:22" x14ac:dyDescent="0.25">
      <c r="A13" s="5">
        <v>30</v>
      </c>
      <c r="B13" s="11">
        <f t="shared" si="0"/>
        <v>1194.8571428571429</v>
      </c>
      <c r="C13" s="11">
        <f t="shared" si="1"/>
        <v>99.342857142857127</v>
      </c>
      <c r="D13" s="33">
        <f t="shared" ref="D13:D35" si="2">(B13*A13)/(C13*600)</f>
        <v>0.60138050043140656</v>
      </c>
    </row>
    <row r="14" spans="1:22" x14ac:dyDescent="0.25">
      <c r="A14" s="5">
        <v>40</v>
      </c>
      <c r="B14" s="11">
        <f t="shared" si="0"/>
        <v>1193.1428571428571</v>
      </c>
      <c r="C14" s="11">
        <f t="shared" si="1"/>
        <v>120.45714285714286</v>
      </c>
      <c r="D14" s="33">
        <f t="shared" si="2"/>
        <v>0.66034155597722954</v>
      </c>
    </row>
    <row r="15" spans="1:22" x14ac:dyDescent="0.25">
      <c r="A15" s="5">
        <v>50</v>
      </c>
      <c r="B15" s="11">
        <f t="shared" si="0"/>
        <v>1191.4285714285713</v>
      </c>
      <c r="C15" s="11">
        <f t="shared" si="1"/>
        <v>141.57142857142856</v>
      </c>
      <c r="D15" s="33">
        <f t="shared" si="2"/>
        <v>0.70131180625630674</v>
      </c>
    </row>
    <row r="16" spans="1:22" x14ac:dyDescent="0.25">
      <c r="A16" s="5">
        <v>60</v>
      </c>
      <c r="B16" s="11">
        <f t="shared" si="0"/>
        <v>1189.7142857142858</v>
      </c>
      <c r="C16" s="11">
        <f t="shared" si="1"/>
        <v>162.68571428571425</v>
      </c>
      <c r="D16" s="33">
        <f t="shared" si="2"/>
        <v>0.73129610115911503</v>
      </c>
    </row>
    <row r="17" spans="1:4" x14ac:dyDescent="0.25">
      <c r="A17" s="5">
        <v>70</v>
      </c>
      <c r="B17" s="11">
        <f t="shared" si="0"/>
        <v>1188</v>
      </c>
      <c r="C17" s="11">
        <f t="shared" si="1"/>
        <v>183.79999999999998</v>
      </c>
      <c r="D17" s="33">
        <f t="shared" si="2"/>
        <v>0.75408052230685541</v>
      </c>
    </row>
    <row r="18" spans="1:4" x14ac:dyDescent="0.25">
      <c r="A18" s="5">
        <v>80</v>
      </c>
      <c r="B18" s="11">
        <f t="shared" si="0"/>
        <v>1186.2857142857142</v>
      </c>
      <c r="C18" s="11">
        <f t="shared" si="1"/>
        <v>204.91428571428571</v>
      </c>
      <c r="D18" s="33">
        <f t="shared" si="2"/>
        <v>0.77189068600111543</v>
      </c>
    </row>
    <row r="19" spans="1:4" x14ac:dyDescent="0.25">
      <c r="A19" s="5">
        <v>90</v>
      </c>
      <c r="B19" s="11">
        <f t="shared" si="0"/>
        <v>1184.5714285714287</v>
      </c>
      <c r="C19" s="11">
        <f t="shared" si="1"/>
        <v>226.02857142857141</v>
      </c>
      <c r="D19" s="33">
        <f t="shared" si="2"/>
        <v>0.78612059158134262</v>
      </c>
    </row>
    <row r="20" spans="1:4" x14ac:dyDescent="0.25">
      <c r="A20" s="5">
        <v>100</v>
      </c>
      <c r="B20" s="11">
        <f t="shared" si="0"/>
        <v>1182.8571428571429</v>
      </c>
      <c r="C20" s="11">
        <f t="shared" si="1"/>
        <v>247.14285714285711</v>
      </c>
      <c r="D20" s="33">
        <f t="shared" si="2"/>
        <v>0.79768786127167646</v>
      </c>
    </row>
    <row r="21" spans="1:4" x14ac:dyDescent="0.25">
      <c r="A21" s="5">
        <v>110</v>
      </c>
      <c r="B21" s="11">
        <f t="shared" si="0"/>
        <v>1181.1428571428571</v>
      </c>
      <c r="C21" s="11">
        <f t="shared" si="1"/>
        <v>268.25714285714287</v>
      </c>
      <c r="D21" s="33">
        <f t="shared" si="2"/>
        <v>0.80722121631696664</v>
      </c>
    </row>
    <row r="22" spans="1:4" x14ac:dyDescent="0.25">
      <c r="A22" s="5">
        <v>120</v>
      </c>
      <c r="B22" s="11">
        <f t="shared" si="0"/>
        <v>1179.4285714285713</v>
      </c>
      <c r="C22" s="11">
        <f t="shared" si="1"/>
        <v>289.37142857142851</v>
      </c>
      <c r="D22" s="33">
        <f t="shared" si="2"/>
        <v>0.81516587677725127</v>
      </c>
    </row>
    <row r="23" spans="1:4" x14ac:dyDescent="0.25">
      <c r="A23" s="5">
        <v>130</v>
      </c>
      <c r="B23" s="11">
        <f t="shared" si="0"/>
        <v>1177.7142857142858</v>
      </c>
      <c r="C23" s="11">
        <f t="shared" si="1"/>
        <v>310.48571428571427</v>
      </c>
      <c r="D23" s="33">
        <f t="shared" si="2"/>
        <v>0.82184595564553253</v>
      </c>
    </row>
    <row r="24" spans="1:4" x14ac:dyDescent="0.25">
      <c r="A24" s="5">
        <v>140</v>
      </c>
      <c r="B24" s="11">
        <f t="shared" si="0"/>
        <v>1176</v>
      </c>
      <c r="C24" s="11">
        <f t="shared" si="1"/>
        <v>331.59999999999997</v>
      </c>
      <c r="D24" s="33">
        <f t="shared" si="2"/>
        <v>0.82750301568154416</v>
      </c>
    </row>
    <row r="25" spans="1:4" x14ac:dyDescent="0.25">
      <c r="A25" s="5">
        <v>150</v>
      </c>
      <c r="B25" s="11">
        <f t="shared" si="0"/>
        <v>1174.2857142857142</v>
      </c>
      <c r="C25" s="11">
        <f t="shared" si="1"/>
        <v>352.71428571428567</v>
      </c>
      <c r="D25" s="33">
        <f t="shared" si="2"/>
        <v>0.83232077764277046</v>
      </c>
    </row>
    <row r="26" spans="1:4" x14ac:dyDescent="0.25">
      <c r="A26" s="5">
        <v>160</v>
      </c>
      <c r="B26" s="11">
        <f t="shared" si="0"/>
        <v>1172.5714285714287</v>
      </c>
      <c r="C26" s="11">
        <f t="shared" si="1"/>
        <v>373.82857142857142</v>
      </c>
      <c r="D26" s="33">
        <f t="shared" si="2"/>
        <v>0.83644145521247337</v>
      </c>
    </row>
    <row r="27" spans="1:4" x14ac:dyDescent="0.25">
      <c r="A27" s="5">
        <v>170</v>
      </c>
      <c r="B27" s="11">
        <f t="shared" si="0"/>
        <v>1170.8571428571429</v>
      </c>
      <c r="C27" s="11">
        <f t="shared" si="1"/>
        <v>394.94285714285712</v>
      </c>
      <c r="D27" s="33">
        <f t="shared" si="2"/>
        <v>0.83997685017724089</v>
      </c>
    </row>
    <row r="28" spans="1:4" x14ac:dyDescent="0.25">
      <c r="A28" s="5">
        <v>180</v>
      </c>
      <c r="B28" s="11">
        <f t="shared" si="0"/>
        <v>1169.1428571428571</v>
      </c>
      <c r="C28" s="11">
        <f t="shared" si="1"/>
        <v>416.05714285714282</v>
      </c>
      <c r="D28" s="33">
        <f t="shared" si="2"/>
        <v>0.84301606922126093</v>
      </c>
    </row>
    <row r="29" spans="1:4" x14ac:dyDescent="0.25">
      <c r="A29" s="5">
        <v>190</v>
      </c>
      <c r="B29" s="11">
        <f t="shared" si="0"/>
        <v>1167.4285714285713</v>
      </c>
      <c r="C29" s="11">
        <f t="shared" si="1"/>
        <v>437.17142857142852</v>
      </c>
      <c r="D29" s="33">
        <f t="shared" si="2"/>
        <v>0.84563100450950923</v>
      </c>
    </row>
    <row r="30" spans="1:4" x14ac:dyDescent="0.25">
      <c r="A30" s="5">
        <v>200</v>
      </c>
      <c r="B30" s="11">
        <f t="shared" si="0"/>
        <v>1165.7142857142858</v>
      </c>
      <c r="C30" s="11">
        <f t="shared" si="1"/>
        <v>458.28571428571422</v>
      </c>
      <c r="D30" s="33">
        <f t="shared" si="2"/>
        <v>0.84788029925187058</v>
      </c>
    </row>
    <row r="31" spans="1:4" x14ac:dyDescent="0.25">
      <c r="A31" s="5">
        <v>210</v>
      </c>
      <c r="B31" s="11">
        <f t="shared" si="0"/>
        <v>1164</v>
      </c>
      <c r="C31" s="11">
        <f t="shared" si="1"/>
        <v>479.4</v>
      </c>
      <c r="D31" s="33">
        <f t="shared" si="2"/>
        <v>0.84981226533166454</v>
      </c>
    </row>
    <row r="32" spans="1:4" x14ac:dyDescent="0.25">
      <c r="A32" s="5">
        <v>220</v>
      </c>
      <c r="B32" s="11">
        <f t="shared" si="0"/>
        <v>1162.2857142857142</v>
      </c>
      <c r="C32" s="11">
        <f t="shared" si="1"/>
        <v>500.51428571428568</v>
      </c>
      <c r="D32" s="33">
        <f t="shared" si="2"/>
        <v>0.85146706245005133</v>
      </c>
    </row>
    <row r="33" spans="1:4" x14ac:dyDescent="0.25">
      <c r="A33" s="5">
        <v>230</v>
      </c>
      <c r="B33" s="11">
        <f t="shared" si="0"/>
        <v>1160.5714285714287</v>
      </c>
      <c r="C33" s="11">
        <f t="shared" si="1"/>
        <v>521.62857142857138</v>
      </c>
      <c r="D33" s="33">
        <f t="shared" si="2"/>
        <v>0.85287834803089235</v>
      </c>
    </row>
    <row r="34" spans="1:4" x14ac:dyDescent="0.25">
      <c r="A34" s="5">
        <v>240</v>
      </c>
      <c r="B34" s="11">
        <f t="shared" si="0"/>
        <v>1158.8571428571429</v>
      </c>
      <c r="C34" s="11">
        <f t="shared" si="1"/>
        <v>542.74285714285702</v>
      </c>
      <c r="D34" s="33">
        <f t="shared" si="2"/>
        <v>0.85407454200884425</v>
      </c>
    </row>
    <row r="35" spans="1:4" x14ac:dyDescent="0.25">
      <c r="A35" s="5">
        <v>250</v>
      </c>
      <c r="B35" s="11">
        <f t="shared" si="0"/>
        <v>1157.1428571428571</v>
      </c>
      <c r="C35" s="11">
        <f t="shared" si="1"/>
        <v>563.85714285714278</v>
      </c>
      <c r="D35" s="33">
        <f t="shared" si="2"/>
        <v>0.85507980744869527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workbookViewId="0">
      <selection activeCell="F33" sqref="F33"/>
    </sheetView>
  </sheetViews>
  <sheetFormatPr defaultRowHeight="15" x14ac:dyDescent="0.25"/>
  <cols>
    <col min="1" max="1" width="11.28515625" bestFit="1" customWidth="1"/>
    <col min="2" max="2" width="11.85546875" bestFit="1" customWidth="1"/>
    <col min="3" max="3" width="12.5703125" bestFit="1" customWidth="1"/>
  </cols>
  <sheetData>
    <row r="1" spans="1:4" x14ac:dyDescent="0.25">
      <c r="A1" s="5" t="s">
        <v>7</v>
      </c>
      <c r="B1" s="5" t="s">
        <v>27</v>
      </c>
      <c r="C1" s="5" t="s">
        <v>80</v>
      </c>
      <c r="D1" s="5" t="s">
        <v>69</v>
      </c>
    </row>
    <row r="2" spans="1:4" x14ac:dyDescent="0.25">
      <c r="A2" s="5" t="s">
        <v>28</v>
      </c>
      <c r="B2" s="5" t="s">
        <v>34</v>
      </c>
      <c r="C2" s="5" t="s">
        <v>42</v>
      </c>
      <c r="D2" s="5" t="s">
        <v>90</v>
      </c>
    </row>
    <row r="3" spans="1:4" x14ac:dyDescent="0.25">
      <c r="A3" s="5">
        <v>0</v>
      </c>
      <c r="B3" s="32">
        <v>0</v>
      </c>
      <c r="C3" s="32">
        <v>0</v>
      </c>
      <c r="D3" s="32">
        <f t="shared" ref="D3:D9" si="0">D4-0.004</f>
        <v>0.93799999999999994</v>
      </c>
    </row>
    <row r="4" spans="1:4" x14ac:dyDescent="0.25">
      <c r="A4" s="5">
        <v>0.1</v>
      </c>
      <c r="B4" s="32">
        <v>0.53217953802932616</v>
      </c>
      <c r="C4" s="32">
        <v>2.6551538600862652</v>
      </c>
      <c r="D4" s="32">
        <f t="shared" si="0"/>
        <v>0.94199999999999995</v>
      </c>
    </row>
    <row r="5" spans="1:4" x14ac:dyDescent="0.25">
      <c r="A5" s="5">
        <v>0.2</v>
      </c>
      <c r="B5" s="32">
        <v>1.0643590760586523</v>
      </c>
      <c r="C5" s="32">
        <v>10.620615440345061</v>
      </c>
      <c r="D5" s="32">
        <f t="shared" si="0"/>
        <v>0.94599999999999995</v>
      </c>
    </row>
    <row r="6" spans="1:4" x14ac:dyDescent="0.25">
      <c r="A6" s="5">
        <v>0.3</v>
      </c>
      <c r="B6" s="32">
        <v>1.5965386140879783</v>
      </c>
      <c r="C6" s="32">
        <v>23.896384740776387</v>
      </c>
      <c r="D6" s="32">
        <f t="shared" si="0"/>
        <v>0.95</v>
      </c>
    </row>
    <row r="7" spans="1:4" x14ac:dyDescent="0.25">
      <c r="A7" s="5">
        <v>0.4</v>
      </c>
      <c r="B7" s="32">
        <v>2.1287181521173046</v>
      </c>
      <c r="C7" s="32">
        <v>42.482461761380243</v>
      </c>
      <c r="D7" s="32">
        <f t="shared" si="0"/>
        <v>0.95399999999999996</v>
      </c>
    </row>
    <row r="8" spans="1:4" x14ac:dyDescent="0.25">
      <c r="A8" s="5">
        <v>0.5</v>
      </c>
      <c r="B8" s="32">
        <v>2.6608976901466308</v>
      </c>
      <c r="C8" s="32">
        <v>66.37884650215662</v>
      </c>
      <c r="D8" s="32">
        <f t="shared" si="0"/>
        <v>0.95799999999999996</v>
      </c>
    </row>
    <row r="9" spans="1:4" x14ac:dyDescent="0.25">
      <c r="A9" s="5">
        <v>0.6</v>
      </c>
      <c r="B9" s="32">
        <v>3.1930772281759565</v>
      </c>
      <c r="C9" s="32">
        <v>95.585538963105549</v>
      </c>
      <c r="D9" s="32">
        <f t="shared" si="0"/>
        <v>0.96199999999999997</v>
      </c>
    </row>
    <row r="10" spans="1:4" x14ac:dyDescent="0.25">
      <c r="A10" s="5">
        <v>0.7</v>
      </c>
      <c r="B10" s="32">
        <v>3.7252567662052827</v>
      </c>
      <c r="C10" s="32">
        <v>130.10253914422694</v>
      </c>
      <c r="D10" s="32">
        <f>D11-0.004</f>
        <v>0.96599999999999997</v>
      </c>
    </row>
    <row r="11" spans="1:4" x14ac:dyDescent="0.25">
      <c r="A11" s="5">
        <v>0.8</v>
      </c>
      <c r="B11" s="32">
        <v>4.2574363042346093</v>
      </c>
      <c r="C11" s="32">
        <v>169.92984704552097</v>
      </c>
      <c r="D11" s="32">
        <v>0.97</v>
      </c>
    </row>
    <row r="12" spans="1:4" x14ac:dyDescent="0.25">
      <c r="A12" s="5">
        <v>0.9</v>
      </c>
      <c r="B12" s="32">
        <v>4.7896158422639354</v>
      </c>
      <c r="C12" s="32">
        <v>215.06746266698741</v>
      </c>
      <c r="D12" s="32">
        <v>0.96899999999999997</v>
      </c>
    </row>
    <row r="13" spans="1:4" x14ac:dyDescent="0.25">
      <c r="A13" s="5">
        <v>1</v>
      </c>
      <c r="B13" s="32">
        <v>5.3217953802932616</v>
      </c>
      <c r="C13" s="32">
        <v>265.51538600862648</v>
      </c>
      <c r="D13" s="32">
        <v>0.96799999999999997</v>
      </c>
    </row>
    <row r="14" spans="1:4" x14ac:dyDescent="0.25">
      <c r="A14" s="5">
        <v>1.1000000000000001</v>
      </c>
      <c r="B14" s="32">
        <v>5.8539749183225869</v>
      </c>
      <c r="C14" s="32">
        <v>321.27361707043815</v>
      </c>
      <c r="D14" s="32">
        <v>0.96699999999999997</v>
      </c>
    </row>
    <row r="15" spans="1:4" x14ac:dyDescent="0.25">
      <c r="A15" s="5">
        <v>1.2</v>
      </c>
      <c r="B15" s="32">
        <v>6.386154456351913</v>
      </c>
      <c r="C15" s="32">
        <v>382.34215585242214</v>
      </c>
      <c r="D15" s="32">
        <v>0.96599999999999997</v>
      </c>
    </row>
    <row r="16" spans="1:4" x14ac:dyDescent="0.25">
      <c r="A16" s="5">
        <v>1.3</v>
      </c>
      <c r="B16" s="32">
        <v>6.9183339943812392</v>
      </c>
      <c r="C16" s="32">
        <v>448.72100235457884</v>
      </c>
      <c r="D16" s="32">
        <v>0.96499999999999997</v>
      </c>
    </row>
    <row r="17" spans="1:4" x14ac:dyDescent="0.25">
      <c r="A17" s="5">
        <v>1.4</v>
      </c>
      <c r="B17" s="32">
        <v>7.4505135324105654</v>
      </c>
      <c r="C17" s="32">
        <v>520.41015657690775</v>
      </c>
      <c r="D17" s="32">
        <v>0.96399999999999997</v>
      </c>
    </row>
    <row r="18" spans="1:4" x14ac:dyDescent="0.25">
      <c r="A18" s="5">
        <v>1.5</v>
      </c>
      <c r="B18" s="32">
        <v>7.9826930704398915</v>
      </c>
      <c r="C18" s="32">
        <v>597.40961851940961</v>
      </c>
      <c r="D18" s="32">
        <v>0.96299999999999997</v>
      </c>
    </row>
    <row r="19" spans="1:4" x14ac:dyDescent="0.25">
      <c r="A19" s="5">
        <v>1.6</v>
      </c>
      <c r="B19" s="40">
        <v>8.5148726084692186</v>
      </c>
      <c r="C19" s="40">
        <v>679.71938818208389</v>
      </c>
      <c r="D19" s="32">
        <v>0.96199999999999997</v>
      </c>
    </row>
    <row r="20" spans="1:4" x14ac:dyDescent="0.25">
      <c r="A20" s="5">
        <v>1.7</v>
      </c>
      <c r="B20" s="32">
        <v>6.4806149653941985</v>
      </c>
      <c r="C20" s="32">
        <v>893.32216254067032</v>
      </c>
      <c r="D20" s="32">
        <v>0.96099999999999997</v>
      </c>
    </row>
    <row r="21" spans="1:4" x14ac:dyDescent="0.25">
      <c r="A21" s="5">
        <v>1.8</v>
      </c>
      <c r="B21" s="32">
        <v>6.0345085939583898</v>
      </c>
      <c r="C21" s="32">
        <v>959.36179149292548</v>
      </c>
      <c r="D21" s="32">
        <v>0.96</v>
      </c>
    </row>
    <row r="22" spans="1:4" x14ac:dyDescent="0.25">
      <c r="A22" s="5">
        <v>1.9</v>
      </c>
      <c r="B22" s="32">
        <v>5.7563055988641763</v>
      </c>
      <c r="C22" s="32">
        <v>1005.7278711230525</v>
      </c>
      <c r="D22" s="32">
        <v>0.95899999999999996</v>
      </c>
    </row>
    <row r="23" spans="1:4" x14ac:dyDescent="0.25">
      <c r="A23" s="5">
        <v>2</v>
      </c>
      <c r="B23" s="32">
        <v>5.552833233142203</v>
      </c>
      <c r="C23" s="32">
        <v>1042.5807389506954</v>
      </c>
      <c r="D23" s="32">
        <v>0.95799999999999996</v>
      </c>
    </row>
    <row r="24" spans="1:4" x14ac:dyDescent="0.25">
      <c r="A24" s="5">
        <v>2.1</v>
      </c>
      <c r="B24" s="32">
        <v>5.4031399387137693</v>
      </c>
      <c r="C24" s="32">
        <v>1071.465303720697</v>
      </c>
      <c r="D24" s="32">
        <v>0.95699999999999996</v>
      </c>
    </row>
    <row r="25" spans="1:4" x14ac:dyDescent="0.25">
      <c r="A25" s="5">
        <v>2.2000000000000002</v>
      </c>
      <c r="B25" s="32">
        <v>5.2971957959620148</v>
      </c>
      <c r="C25" s="32">
        <v>1092.8946556765879</v>
      </c>
      <c r="D25" s="32">
        <v>0.95599999999999996</v>
      </c>
    </row>
    <row r="26" spans="1:4" x14ac:dyDescent="0.25">
      <c r="A26" s="5">
        <v>2.2999999999999998</v>
      </c>
      <c r="B26" s="32">
        <v>5.2134194696999296</v>
      </c>
      <c r="C26" s="32">
        <v>1110.4567758505323</v>
      </c>
      <c r="D26" s="32">
        <v>0.95499999999999996</v>
      </c>
    </row>
    <row r="27" spans="1:4" x14ac:dyDescent="0.25">
      <c r="A27" s="5">
        <v>2.4</v>
      </c>
      <c r="B27" s="32">
        <v>5.1459258260566507</v>
      </c>
      <c r="C27" s="32">
        <v>1125.0214579784817</v>
      </c>
      <c r="D27" s="32">
        <v>0.95399999999999996</v>
      </c>
    </row>
    <row r="28" spans="1:4" x14ac:dyDescent="0.25">
      <c r="A28" s="5">
        <v>2.5</v>
      </c>
      <c r="B28" s="32">
        <v>5.1009972816400753</v>
      </c>
      <c r="C28" s="32">
        <v>1134.9304176884416</v>
      </c>
      <c r="D28" s="32">
        <v>0.95299999999999996</v>
      </c>
    </row>
    <row r="29" spans="1:4" x14ac:dyDescent="0.25">
      <c r="D29" s="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workbookViewId="0">
      <selection activeCell="D36" sqref="D36"/>
    </sheetView>
  </sheetViews>
  <sheetFormatPr defaultRowHeight="15" x14ac:dyDescent="0.25"/>
  <cols>
    <col min="1" max="1" width="11.28515625" bestFit="1" customWidth="1"/>
    <col min="2" max="2" width="11.85546875" bestFit="1" customWidth="1"/>
    <col min="3" max="3" width="12.5703125" bestFit="1" customWidth="1"/>
  </cols>
  <sheetData>
    <row r="1" spans="1:4" x14ac:dyDescent="0.25">
      <c r="A1" s="5" t="s">
        <v>7</v>
      </c>
      <c r="B1" s="5" t="s">
        <v>27</v>
      </c>
      <c r="C1" s="5" t="s">
        <v>80</v>
      </c>
      <c r="D1" s="5" t="s">
        <v>69</v>
      </c>
    </row>
    <row r="2" spans="1:4" x14ac:dyDescent="0.25">
      <c r="A2" s="5" t="s">
        <v>28</v>
      </c>
      <c r="B2" s="5" t="s">
        <v>34</v>
      </c>
      <c r="C2" s="5" t="s">
        <v>42</v>
      </c>
      <c r="D2" s="5" t="s">
        <v>90</v>
      </c>
    </row>
    <row r="3" spans="1:4" x14ac:dyDescent="0.25">
      <c r="A3" s="5">
        <v>0</v>
      </c>
      <c r="B3" s="32">
        <v>0</v>
      </c>
      <c r="C3" s="32">
        <v>0</v>
      </c>
      <c r="D3" s="32">
        <v>0.95</v>
      </c>
    </row>
    <row r="4" spans="1:4" x14ac:dyDescent="0.25">
      <c r="A4" s="5">
        <v>0.1</v>
      </c>
      <c r="B4" s="32">
        <v>0.53217953802932616</v>
      </c>
      <c r="C4" s="32">
        <v>2.6551538600862652</v>
      </c>
      <c r="D4" s="32">
        <v>0.95</v>
      </c>
    </row>
    <row r="5" spans="1:4" x14ac:dyDescent="0.25">
      <c r="A5" s="5">
        <v>0.2</v>
      </c>
      <c r="B5" s="32">
        <v>1.0643590760586523</v>
      </c>
      <c r="C5" s="32">
        <v>10.620615440345061</v>
      </c>
      <c r="D5" s="32">
        <v>0.95</v>
      </c>
    </row>
    <row r="6" spans="1:4" x14ac:dyDescent="0.25">
      <c r="A6" s="5">
        <v>0.3</v>
      </c>
      <c r="B6" s="32">
        <v>1.5965386140879783</v>
      </c>
      <c r="C6" s="32">
        <v>23.896384740776387</v>
      </c>
      <c r="D6" s="32">
        <v>0.95</v>
      </c>
    </row>
    <row r="7" spans="1:4" x14ac:dyDescent="0.25">
      <c r="A7" s="5">
        <v>0.4</v>
      </c>
      <c r="B7" s="32">
        <v>2.1287181521173046</v>
      </c>
      <c r="C7" s="32">
        <v>42.482461761380243</v>
      </c>
      <c r="D7" s="32">
        <v>0.95</v>
      </c>
    </row>
    <row r="8" spans="1:4" x14ac:dyDescent="0.25">
      <c r="A8" s="5">
        <v>0.5</v>
      </c>
      <c r="B8" s="32">
        <v>2.6608976901466308</v>
      </c>
      <c r="C8" s="32">
        <v>66.37884650215662</v>
      </c>
      <c r="D8" s="32">
        <v>0.95</v>
      </c>
    </row>
    <row r="9" spans="1:4" x14ac:dyDescent="0.25">
      <c r="A9" s="5">
        <v>0.6</v>
      </c>
      <c r="B9" s="32">
        <v>3.1930772281759565</v>
      </c>
      <c r="C9" s="32">
        <v>95.585538963105549</v>
      </c>
      <c r="D9" s="32">
        <v>0.95</v>
      </c>
    </row>
    <row r="10" spans="1:4" x14ac:dyDescent="0.25">
      <c r="A10" s="5">
        <v>0.7</v>
      </c>
      <c r="B10" s="32">
        <v>3.7252567662052827</v>
      </c>
      <c r="C10" s="32">
        <v>130.10253914422694</v>
      </c>
      <c r="D10" s="32">
        <v>0.95</v>
      </c>
    </row>
    <row r="11" spans="1:4" x14ac:dyDescent="0.25">
      <c r="A11" s="5">
        <v>0.8</v>
      </c>
      <c r="B11" s="32">
        <v>4.2574363042346093</v>
      </c>
      <c r="C11" s="32">
        <v>169.92984704552097</v>
      </c>
      <c r="D11" s="32">
        <v>0.95</v>
      </c>
    </row>
    <row r="12" spans="1:4" x14ac:dyDescent="0.25">
      <c r="A12" s="5">
        <v>0.9</v>
      </c>
      <c r="B12" s="32">
        <v>4.7896158422639354</v>
      </c>
      <c r="C12" s="32">
        <v>215.06746266698741</v>
      </c>
      <c r="D12" s="32">
        <v>0.95</v>
      </c>
    </row>
    <row r="13" spans="1:4" x14ac:dyDescent="0.25">
      <c r="A13" s="5">
        <v>1</v>
      </c>
      <c r="B13" s="32">
        <v>5.3217953802932616</v>
      </c>
      <c r="C13" s="32">
        <v>265.51538600862648</v>
      </c>
      <c r="D13" s="32">
        <v>0.95</v>
      </c>
    </row>
    <row r="14" spans="1:4" x14ac:dyDescent="0.25">
      <c r="A14" s="5">
        <v>1.1000000000000001</v>
      </c>
      <c r="B14" s="32">
        <v>5.8539749183225869</v>
      </c>
      <c r="C14" s="32">
        <v>321.27361707043815</v>
      </c>
      <c r="D14" s="32">
        <v>0.95</v>
      </c>
    </row>
    <row r="15" spans="1:4" x14ac:dyDescent="0.25">
      <c r="A15" s="5">
        <v>1.2</v>
      </c>
      <c r="B15" s="32">
        <v>6.386154456351913</v>
      </c>
      <c r="C15" s="32">
        <v>382.34215585242214</v>
      </c>
      <c r="D15" s="32">
        <v>0.95</v>
      </c>
    </row>
    <row r="16" spans="1:4" x14ac:dyDescent="0.25">
      <c r="A16" s="5">
        <v>1.3</v>
      </c>
      <c r="B16" s="32">
        <v>6.9183339943812392</v>
      </c>
      <c r="C16" s="32">
        <v>448.72100235457884</v>
      </c>
      <c r="D16" s="32">
        <v>0.95</v>
      </c>
    </row>
    <row r="17" spans="1:4" x14ac:dyDescent="0.25">
      <c r="A17" s="5">
        <v>1.4</v>
      </c>
      <c r="B17" s="32">
        <v>7.4505135324105654</v>
      </c>
      <c r="C17" s="32">
        <v>520.41015657690775</v>
      </c>
      <c r="D17" s="32">
        <v>0.95</v>
      </c>
    </row>
    <row r="18" spans="1:4" x14ac:dyDescent="0.25">
      <c r="A18" s="5">
        <v>1.5</v>
      </c>
      <c r="B18" s="32">
        <v>7.9826930704398915</v>
      </c>
      <c r="C18" s="32">
        <v>597.40961851940961</v>
      </c>
      <c r="D18" s="32">
        <v>0.95</v>
      </c>
    </row>
    <row r="19" spans="1:4" x14ac:dyDescent="0.25">
      <c r="A19" s="5">
        <v>1.6</v>
      </c>
      <c r="B19" s="40">
        <v>8.5148726084692186</v>
      </c>
      <c r="C19" s="40">
        <v>679.71938818208389</v>
      </c>
      <c r="D19" s="32">
        <v>0.95</v>
      </c>
    </row>
    <row r="20" spans="1:4" x14ac:dyDescent="0.25">
      <c r="A20" s="5">
        <v>1.7</v>
      </c>
      <c r="B20" s="32">
        <v>6.4806149653941985</v>
      </c>
      <c r="C20" s="32">
        <v>893.32216254067032</v>
      </c>
      <c r="D20" s="32">
        <v>0.95</v>
      </c>
    </row>
    <row r="21" spans="1:4" x14ac:dyDescent="0.25">
      <c r="A21" s="5">
        <v>1.8</v>
      </c>
      <c r="B21" s="32">
        <v>6.0345085939583898</v>
      </c>
      <c r="C21" s="32">
        <v>959.36179149292548</v>
      </c>
      <c r="D21" s="32">
        <v>0.95</v>
      </c>
    </row>
    <row r="22" spans="1:4" x14ac:dyDescent="0.25">
      <c r="A22" s="5">
        <v>1.9</v>
      </c>
      <c r="B22" s="32">
        <v>5.7563055988641763</v>
      </c>
      <c r="C22" s="32">
        <v>1005.7278711230525</v>
      </c>
      <c r="D22" s="32">
        <v>0.95</v>
      </c>
    </row>
    <row r="23" spans="1:4" x14ac:dyDescent="0.25">
      <c r="A23" s="5">
        <v>2</v>
      </c>
      <c r="B23" s="32">
        <v>5.552833233142203</v>
      </c>
      <c r="C23" s="32">
        <v>1042.5807389506954</v>
      </c>
      <c r="D23" s="32">
        <v>0.95</v>
      </c>
    </row>
    <row r="24" spans="1:4" x14ac:dyDescent="0.25">
      <c r="A24" s="5">
        <v>2.1</v>
      </c>
      <c r="B24" s="32">
        <v>5.4031399387137693</v>
      </c>
      <c r="C24" s="32">
        <v>1071.465303720697</v>
      </c>
      <c r="D24" s="32">
        <v>0.95</v>
      </c>
    </row>
    <row r="25" spans="1:4" x14ac:dyDescent="0.25">
      <c r="A25" s="5">
        <v>2.2000000000000002</v>
      </c>
      <c r="B25" s="32">
        <v>5.2971957959620148</v>
      </c>
      <c r="C25" s="32">
        <v>1092.8946556765879</v>
      </c>
      <c r="D25" s="32">
        <v>0.95</v>
      </c>
    </row>
    <row r="26" spans="1:4" x14ac:dyDescent="0.25">
      <c r="A26" s="5">
        <v>2.2999999999999998</v>
      </c>
      <c r="B26" s="32">
        <v>5.2134194696999296</v>
      </c>
      <c r="C26" s="32">
        <v>1110.4567758505323</v>
      </c>
      <c r="D26" s="32">
        <v>0.95</v>
      </c>
    </row>
    <row r="27" spans="1:4" x14ac:dyDescent="0.25">
      <c r="A27" s="5">
        <v>2.4</v>
      </c>
      <c r="B27" s="32">
        <v>5.1459258260566507</v>
      </c>
      <c r="C27" s="32">
        <v>1125.0214579784817</v>
      </c>
      <c r="D27" s="32">
        <v>0.95</v>
      </c>
    </row>
    <row r="28" spans="1:4" x14ac:dyDescent="0.25">
      <c r="A28" s="5">
        <v>2.5</v>
      </c>
      <c r="B28" s="32">
        <v>5.1009972816400753</v>
      </c>
      <c r="C28" s="32">
        <v>1134.9304176884416</v>
      </c>
      <c r="D28" s="32">
        <v>0.95</v>
      </c>
    </row>
    <row r="29" spans="1:4" x14ac:dyDescent="0.25">
      <c r="D29" s="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9"/>
  <sheetViews>
    <sheetView zoomScale="80" zoomScaleNormal="80" workbookViewId="0">
      <selection activeCell="M3" sqref="M3:M19"/>
    </sheetView>
  </sheetViews>
  <sheetFormatPr defaultRowHeight="15" x14ac:dyDescent="0.25"/>
  <cols>
    <col min="1" max="1" width="13.140625" bestFit="1" customWidth="1"/>
    <col min="2" max="2" width="10.28515625" bestFit="1" customWidth="1"/>
    <col min="3" max="5" width="10.28515625" customWidth="1"/>
    <col min="6" max="7" width="10.7109375" customWidth="1"/>
    <col min="8" max="13" width="10.85546875" customWidth="1"/>
    <col min="14" max="14" width="15.140625" customWidth="1"/>
    <col min="15" max="15" width="11.28515625" customWidth="1"/>
    <col min="16" max="16" width="28.5703125" bestFit="1" customWidth="1"/>
    <col min="17" max="17" width="11.28515625" customWidth="1"/>
    <col min="18" max="18" width="14" bestFit="1" customWidth="1"/>
    <col min="19" max="19" width="9.28515625" customWidth="1"/>
    <col min="23" max="23" width="10.5703125" bestFit="1" customWidth="1"/>
    <col min="24" max="25" width="9.7109375" customWidth="1"/>
    <col min="26" max="26" width="11" bestFit="1" customWidth="1"/>
    <col min="27" max="27" width="13.5703125" bestFit="1" customWidth="1"/>
    <col min="28" max="29" width="9.7109375" customWidth="1"/>
    <col min="30" max="30" width="13.28515625" bestFit="1" customWidth="1"/>
    <col min="33" max="33" width="11.5703125" bestFit="1" customWidth="1"/>
    <col min="34" max="34" width="12.85546875" bestFit="1" customWidth="1"/>
    <col min="35" max="35" width="10.7109375" bestFit="1" customWidth="1"/>
    <col min="36" max="36" width="6.7109375" bestFit="1" customWidth="1"/>
    <col min="37" max="37" width="15.5703125" bestFit="1" customWidth="1"/>
    <col min="39" max="39" width="28.140625" bestFit="1" customWidth="1"/>
    <col min="41" max="41" width="13" customWidth="1"/>
    <col min="44" max="44" width="9.140625" customWidth="1"/>
  </cols>
  <sheetData>
    <row r="1" spans="1:43" ht="45" x14ac:dyDescent="0.25">
      <c r="A1" t="s">
        <v>6</v>
      </c>
      <c r="B1" s="3" t="s">
        <v>7</v>
      </c>
      <c r="C1" t="s">
        <v>8</v>
      </c>
      <c r="D1" s="3" t="s">
        <v>9</v>
      </c>
      <c r="E1" t="s">
        <v>10</v>
      </c>
      <c r="F1" s="4" t="s">
        <v>11</v>
      </c>
      <c r="G1" s="4" t="s">
        <v>12</v>
      </c>
      <c r="H1" s="4" t="s">
        <v>14</v>
      </c>
      <c r="I1" s="4" t="s">
        <v>71</v>
      </c>
      <c r="J1" s="4" t="s">
        <v>67</v>
      </c>
      <c r="K1" s="4" t="s">
        <v>72</v>
      </c>
      <c r="L1" s="4" t="s">
        <v>73</v>
      </c>
      <c r="M1" s="4" t="s">
        <v>68</v>
      </c>
      <c r="N1" s="4" t="s">
        <v>15</v>
      </c>
      <c r="O1" s="4"/>
      <c r="S1" s="3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22</v>
      </c>
      <c r="AB1" t="s">
        <v>23</v>
      </c>
      <c r="AD1" t="s">
        <v>24</v>
      </c>
      <c r="AE1" t="s">
        <v>13</v>
      </c>
      <c r="AF1" t="s">
        <v>25</v>
      </c>
      <c r="AG1" t="s">
        <v>26</v>
      </c>
      <c r="AH1" t="s">
        <v>22</v>
      </c>
      <c r="AM1" t="s">
        <v>24</v>
      </c>
    </row>
    <row r="2" spans="1:43" x14ac:dyDescent="0.25">
      <c r="B2" s="5" t="s">
        <v>28</v>
      </c>
      <c r="C2" t="s">
        <v>29</v>
      </c>
      <c r="D2" s="5" t="s">
        <v>30</v>
      </c>
      <c r="E2" s="5" t="s">
        <v>31</v>
      </c>
      <c r="F2" s="5" t="s">
        <v>32</v>
      </c>
      <c r="G2" s="5" t="s">
        <v>33</v>
      </c>
      <c r="H2" s="5" t="s">
        <v>81</v>
      </c>
      <c r="I2" s="5" t="s">
        <v>90</v>
      </c>
      <c r="J2" s="5" t="s">
        <v>90</v>
      </c>
      <c r="K2" s="5" t="s">
        <v>90</v>
      </c>
      <c r="L2" s="5" t="s">
        <v>90</v>
      </c>
      <c r="M2" s="5" t="s">
        <v>90</v>
      </c>
      <c r="N2" s="5" t="s">
        <v>30</v>
      </c>
      <c r="P2" t="s">
        <v>36</v>
      </c>
      <c r="Q2" t="s">
        <v>35</v>
      </c>
      <c r="R2">
        <f>X17</f>
        <v>227514</v>
      </c>
      <c r="S2">
        <v>1</v>
      </c>
      <c r="V2" s="5" t="s">
        <v>29</v>
      </c>
      <c r="W2" s="5" t="s">
        <v>29</v>
      </c>
      <c r="X2" s="5" t="s">
        <v>37</v>
      </c>
      <c r="Y2" s="5" t="s">
        <v>38</v>
      </c>
      <c r="Z2" s="5" t="s">
        <v>33</v>
      </c>
      <c r="AA2" s="5" t="s">
        <v>39</v>
      </c>
      <c r="AB2" s="5" t="s">
        <v>40</v>
      </c>
      <c r="AD2" s="5" t="s">
        <v>41</v>
      </c>
      <c r="AE2">
        <v>40</v>
      </c>
      <c r="AF2">
        <v>64</v>
      </c>
      <c r="AG2">
        <f t="shared" ref="AG2:AG9" si="0">AF2*3.5</f>
        <v>224</v>
      </c>
      <c r="AH2">
        <v>39</v>
      </c>
    </row>
    <row r="3" spans="1:43" x14ac:dyDescent="0.25">
      <c r="A3" t="s">
        <v>43</v>
      </c>
      <c r="B3">
        <v>0.8</v>
      </c>
      <c r="C3" s="6">
        <v>0.44570000000000004</v>
      </c>
      <c r="D3" s="6">
        <f t="shared" ref="D3:D11" si="1">(0.5*$R$13*C3*PI()*(($R$8/2)^2)*B3^3/1000)</f>
        <v>75.778132044835104</v>
      </c>
      <c r="E3" s="6">
        <v>7.9999999500000456</v>
      </c>
      <c r="F3" s="6">
        <f t="shared" ref="F3:F11" si="2">((B3*E3)/($R$8/2))*(60/(2*PI()))</f>
        <v>4.2574362776256569</v>
      </c>
      <c r="G3" s="6">
        <f>D3/((2*PI()*F3/60))</f>
        <v>169.96798317223764</v>
      </c>
      <c r="H3" s="7">
        <f>G3/($S$2*$R$10/1000)+$R$12</f>
        <v>57.2133286589549</v>
      </c>
      <c r="I3" s="1">
        <f>LOOKUP(B3,'CBM4000 Eff'!$A$3:$A$28,'CBM4000 Eff'!$D$3:$D$28)</f>
        <v>0.97</v>
      </c>
      <c r="J3" s="1">
        <f>LOOKUP(H3,'A4VSO 500 Eff'!$A$12:$A$35,'A4VSO 500 Eff'!$D$12:$D$35)</f>
        <v>0.75956284153005449</v>
      </c>
      <c r="K3" s="1">
        <v>0.99</v>
      </c>
      <c r="L3" s="41">
        <v>0.95399999999999996</v>
      </c>
      <c r="M3" s="2">
        <f>I3*J3*K3*L3</f>
        <v>0.69585541967213094</v>
      </c>
      <c r="N3" s="6">
        <f>D3*M3</f>
        <v>52.730623876028886</v>
      </c>
      <c r="O3" s="6"/>
      <c r="P3" t="s">
        <v>44</v>
      </c>
      <c r="Q3" t="s">
        <v>35</v>
      </c>
      <c r="R3">
        <v>355</v>
      </c>
      <c r="S3">
        <v>2</v>
      </c>
      <c r="U3">
        <f>$R$2*$F$3/($R$6*$S$3)</f>
        <v>403.5943155282182</v>
      </c>
      <c r="V3" t="s">
        <v>45</v>
      </c>
      <c r="W3">
        <v>840</v>
      </c>
      <c r="X3">
        <v>52800</v>
      </c>
      <c r="Y3">
        <v>840</v>
      </c>
      <c r="Z3">
        <f t="shared" ref="Z3:Z4" si="3">Y3*210/1000</f>
        <v>176.4</v>
      </c>
      <c r="AA3">
        <v>2170</v>
      </c>
      <c r="AD3" s="5" t="s">
        <v>41</v>
      </c>
      <c r="AE3">
        <v>71</v>
      </c>
      <c r="AF3">
        <v>113</v>
      </c>
      <c r="AG3">
        <f t="shared" si="0"/>
        <v>395.5</v>
      </c>
      <c r="AH3">
        <v>53</v>
      </c>
      <c r="AK3" s="8"/>
      <c r="AN3" s="6"/>
      <c r="AO3" s="6"/>
      <c r="AP3" s="6"/>
      <c r="AQ3" s="7"/>
    </row>
    <row r="4" spans="1:43" x14ac:dyDescent="0.25">
      <c r="A4" t="s">
        <v>46</v>
      </c>
      <c r="B4">
        <f>B3+0.1</f>
        <v>0.9</v>
      </c>
      <c r="C4" s="6">
        <v>0.44569999999999999</v>
      </c>
      <c r="D4" s="6">
        <f t="shared" si="1"/>
        <v>107.89503566539996</v>
      </c>
      <c r="E4" s="6">
        <v>7.999999950000074</v>
      </c>
      <c r="F4" s="6">
        <f t="shared" si="2"/>
        <v>4.789615812328881</v>
      </c>
      <c r="G4" s="6">
        <f t="shared" ref="G4:G11" si="4">D4/((2*PI()*F4/60))</f>
        <v>215.11572870236247</v>
      </c>
      <c r="H4" s="7">
        <f t="shared" ref="H4:H11" si="5">G4/($S$2*$R$10/1000)+$R$12</f>
        <v>69.754369083989573</v>
      </c>
      <c r="I4" s="1">
        <f>LOOKUP(B4,'CBM4000 Eff'!$A$3:$A$28,'CBM4000 Eff'!$D$3:$D$28)</f>
        <v>0.96899999999999997</v>
      </c>
      <c r="J4" s="1">
        <f>LOOKUP(H4,'A4VSO 500 Eff'!$A$12:$A$35,'A4VSO 500 Eff'!$D$12:$D$35)</f>
        <v>0.78863636363636369</v>
      </c>
      <c r="K4" s="1">
        <v>0.99</v>
      </c>
      <c r="L4" s="41">
        <v>0.95499999999999996</v>
      </c>
      <c r="M4" s="2">
        <f t="shared" ref="M4:M11" si="6">I4*J4*K4*L4</f>
        <v>0.72250214624999998</v>
      </c>
      <c r="N4" s="6">
        <f t="shared" ref="N4:N11" si="7">D4*M4</f>
        <v>77.954394837971762</v>
      </c>
      <c r="O4" s="6"/>
      <c r="P4" t="s">
        <v>47</v>
      </c>
      <c r="Q4" t="s">
        <v>35</v>
      </c>
      <c r="R4">
        <v>500</v>
      </c>
      <c r="S4">
        <v>2</v>
      </c>
      <c r="U4">
        <f>(($R$2*$F$11)-($R$3*$R$6*$S$3))/($R$6*$S$4)</f>
        <v>452.18863105643084</v>
      </c>
      <c r="V4" t="s">
        <v>45</v>
      </c>
      <c r="W4" t="s">
        <v>48</v>
      </c>
      <c r="X4">
        <v>70400</v>
      </c>
      <c r="Y4">
        <v>1120</v>
      </c>
      <c r="Z4">
        <f t="shared" si="3"/>
        <v>235.2</v>
      </c>
      <c r="AA4" s="8">
        <f>AA3*X4/X3</f>
        <v>2893.3333333333335</v>
      </c>
      <c r="AB4">
        <v>126485</v>
      </c>
      <c r="AD4" s="5" t="s">
        <v>41</v>
      </c>
      <c r="AE4">
        <v>125</v>
      </c>
      <c r="AF4">
        <v>199</v>
      </c>
      <c r="AG4">
        <f t="shared" si="0"/>
        <v>696.5</v>
      </c>
      <c r="AH4">
        <v>88</v>
      </c>
      <c r="AK4" s="8"/>
      <c r="AM4" s="6"/>
      <c r="AN4" s="6"/>
      <c r="AO4" s="6"/>
      <c r="AP4" s="6"/>
      <c r="AQ4" s="7"/>
    </row>
    <row r="5" spans="1:43" x14ac:dyDescent="0.25">
      <c r="A5" t="s">
        <v>46</v>
      </c>
      <c r="B5">
        <f t="shared" ref="B5:B19" si="8">B4+0.1</f>
        <v>1</v>
      </c>
      <c r="C5" s="6">
        <v>0.44570000000000004</v>
      </c>
      <c r="D5" s="6">
        <f t="shared" si="1"/>
        <v>148.00416415006853</v>
      </c>
      <c r="E5" s="6">
        <v>7.999999950000074</v>
      </c>
      <c r="F5" s="6">
        <f t="shared" si="2"/>
        <v>5.3217953470320891</v>
      </c>
      <c r="G5" s="6">
        <f t="shared" si="4"/>
        <v>265.57497370662037</v>
      </c>
      <c r="H5" s="7">
        <f t="shared" si="5"/>
        <v>83.770826029616771</v>
      </c>
      <c r="I5" s="1">
        <f>LOOKUP(B5,'CBM4000 Eff'!$A$3:$A$28,'CBM4000 Eff'!$D$3:$D$28)</f>
        <v>0.96799999999999997</v>
      </c>
      <c r="J5" s="1">
        <f>LOOKUP(H5,'A4VSO 500 Eff'!$A$12:$A$35,'A4VSO 500 Eff'!$D$12:$D$35)</f>
        <v>0.82750373692077717</v>
      </c>
      <c r="K5" s="1">
        <v>0.99</v>
      </c>
      <c r="L5" s="41">
        <v>0.95599999999999996</v>
      </c>
      <c r="M5" s="2">
        <f t="shared" si="6"/>
        <v>0.7581207923946186</v>
      </c>
      <c r="N5" s="6">
        <f t="shared" si="7"/>
        <v>112.20503420315316</v>
      </c>
      <c r="O5" s="6"/>
      <c r="P5" t="s">
        <v>49</v>
      </c>
      <c r="Q5" t="s">
        <v>30</v>
      </c>
      <c r="R5">
        <v>500</v>
      </c>
      <c r="V5" t="s">
        <v>51</v>
      </c>
      <c r="W5" t="s">
        <v>52</v>
      </c>
      <c r="X5">
        <v>75838</v>
      </c>
      <c r="Y5">
        <v>1200</v>
      </c>
      <c r="Z5">
        <f t="shared" ref="Z5:Z15" si="9">210*Y5/1000</f>
        <v>252</v>
      </c>
      <c r="AA5">
        <v>4100</v>
      </c>
      <c r="AB5">
        <v>146772</v>
      </c>
      <c r="AD5" s="5" t="s">
        <v>41</v>
      </c>
      <c r="AE5">
        <v>180</v>
      </c>
      <c r="AF5">
        <v>286</v>
      </c>
      <c r="AG5">
        <f t="shared" si="0"/>
        <v>1001</v>
      </c>
      <c r="AH5">
        <v>102</v>
      </c>
      <c r="AK5" s="8"/>
      <c r="AM5" s="6"/>
      <c r="AN5" s="6"/>
      <c r="AO5" s="6"/>
      <c r="AP5" s="6"/>
      <c r="AQ5" s="7"/>
    </row>
    <row r="6" spans="1:43" x14ac:dyDescent="0.25">
      <c r="A6" t="s">
        <v>46</v>
      </c>
      <c r="B6">
        <f t="shared" si="8"/>
        <v>1.1000000000000001</v>
      </c>
      <c r="C6" s="6">
        <v>0.44570000000000015</v>
      </c>
      <c r="D6" s="6">
        <f t="shared" si="1"/>
        <v>196.99354248374135</v>
      </c>
      <c r="E6" s="6">
        <v>7.999999950000074</v>
      </c>
      <c r="F6" s="6">
        <f t="shared" si="2"/>
        <v>5.8539748817352981</v>
      </c>
      <c r="G6" s="6">
        <f t="shared" si="4"/>
        <v>321.34571818501081</v>
      </c>
      <c r="H6" s="7">
        <f t="shared" si="5"/>
        <v>99.26269949583633</v>
      </c>
      <c r="I6" s="1">
        <f>LOOKUP(B6,'CBM4000 Eff'!$A$3:$A$28,'CBM4000 Eff'!$D$3:$D$28)</f>
        <v>0.96699999999999997</v>
      </c>
      <c r="J6" s="1">
        <f>LOOKUP(H6,'A4VSO 500 Eff'!$A$12:$A$35,'A4VSO 500 Eff'!$D$12:$D$35)</f>
        <v>0.84097363083164312</v>
      </c>
      <c r="K6" s="1">
        <v>0.99</v>
      </c>
      <c r="L6" s="41">
        <v>0.95699999999999996</v>
      </c>
      <c r="M6" s="2">
        <f t="shared" si="6"/>
        <v>0.77047044670588249</v>
      </c>
      <c r="N6" s="6">
        <f t="shared" si="7"/>
        <v>151.77770267562244</v>
      </c>
      <c r="O6" s="6"/>
      <c r="P6" t="s">
        <v>50</v>
      </c>
      <c r="Q6" t="s">
        <v>34</v>
      </c>
      <c r="R6">
        <v>1200</v>
      </c>
      <c r="V6" t="s">
        <v>51</v>
      </c>
      <c r="W6">
        <v>2000</v>
      </c>
      <c r="X6">
        <v>126732</v>
      </c>
      <c r="Y6">
        <v>2000</v>
      </c>
      <c r="Z6">
        <f t="shared" si="9"/>
        <v>420</v>
      </c>
      <c r="AA6">
        <v>4100</v>
      </c>
      <c r="AB6">
        <v>204329</v>
      </c>
      <c r="AD6" s="5" t="s">
        <v>41</v>
      </c>
      <c r="AE6">
        <v>250</v>
      </c>
      <c r="AF6">
        <v>398</v>
      </c>
      <c r="AG6">
        <f t="shared" si="0"/>
        <v>1393</v>
      </c>
      <c r="AH6">
        <v>184</v>
      </c>
      <c r="AK6" s="8"/>
      <c r="AM6" s="6"/>
      <c r="AN6" s="6"/>
      <c r="AO6" s="6"/>
      <c r="AP6" s="6"/>
      <c r="AQ6" s="7"/>
    </row>
    <row r="7" spans="1:43" x14ac:dyDescent="0.25">
      <c r="A7" t="s">
        <v>46</v>
      </c>
      <c r="B7">
        <f t="shared" si="8"/>
        <v>1.2000000000000002</v>
      </c>
      <c r="C7" s="6">
        <v>0.44570000000000015</v>
      </c>
      <c r="D7" s="6">
        <f t="shared" si="1"/>
        <v>255.75119565131862</v>
      </c>
      <c r="E7" s="6">
        <v>7.999999950000074</v>
      </c>
      <c r="F7" s="6">
        <f t="shared" si="2"/>
        <v>6.3861544164385089</v>
      </c>
      <c r="G7" s="6">
        <f t="shared" si="4"/>
        <v>382.42796213753354</v>
      </c>
      <c r="H7" s="7">
        <f t="shared" si="5"/>
        <v>116.22998948264821</v>
      </c>
      <c r="I7" s="1">
        <f>LOOKUP(B7,'CBM4000 Eff'!$A$3:$A$28,'CBM4000 Eff'!$D$3:$D$28)</f>
        <v>0.96599999999999997</v>
      </c>
      <c r="J7" s="1">
        <f>LOOKUP(H7,'A4VSO 500 Eff'!$A$12:$A$35,'A4VSO 500 Eff'!$D$12:$D$35)</f>
        <v>0.8607609312890403</v>
      </c>
      <c r="K7" s="1">
        <v>0.99</v>
      </c>
      <c r="L7" s="41">
        <v>0.95799999999999996</v>
      </c>
      <c r="M7" s="2">
        <f t="shared" si="6"/>
        <v>0.78860654444974443</v>
      </c>
      <c r="N7" s="6">
        <f t="shared" si="7"/>
        <v>201.68706664147689</v>
      </c>
      <c r="O7" s="6"/>
      <c r="P7" t="s">
        <v>53</v>
      </c>
      <c r="Q7" t="s">
        <v>29</v>
      </c>
      <c r="R7">
        <v>8</v>
      </c>
      <c r="V7" t="s">
        <v>51</v>
      </c>
      <c r="W7">
        <v>3000</v>
      </c>
      <c r="X7">
        <v>190066</v>
      </c>
      <c r="Y7">
        <v>3000</v>
      </c>
      <c r="Z7">
        <f t="shared" si="9"/>
        <v>630</v>
      </c>
      <c r="AA7">
        <v>5000</v>
      </c>
      <c r="AD7" s="5" t="s">
        <v>41</v>
      </c>
      <c r="AE7">
        <v>355</v>
      </c>
      <c r="AF7">
        <v>564</v>
      </c>
      <c r="AG7">
        <f t="shared" si="0"/>
        <v>1974</v>
      </c>
      <c r="AH7">
        <v>207</v>
      </c>
      <c r="AK7" s="8"/>
      <c r="AM7" s="6"/>
      <c r="AN7" s="6"/>
      <c r="AO7" s="6"/>
      <c r="AP7" s="6"/>
      <c r="AQ7" s="7"/>
    </row>
    <row r="8" spans="1:43" x14ac:dyDescent="0.25">
      <c r="A8" t="s">
        <v>46</v>
      </c>
      <c r="B8">
        <f t="shared" si="8"/>
        <v>1.3000000000000003</v>
      </c>
      <c r="C8" s="6">
        <v>0.44570000000000004</v>
      </c>
      <c r="D8" s="6">
        <f t="shared" si="1"/>
        <v>325.16514863770078</v>
      </c>
      <c r="E8" s="6">
        <v>7.9999999500001024</v>
      </c>
      <c r="F8" s="6">
        <f t="shared" si="2"/>
        <v>6.9183339511417419</v>
      </c>
      <c r="G8" s="6">
        <f t="shared" si="4"/>
        <v>448.82170556418697</v>
      </c>
      <c r="H8" s="7">
        <f t="shared" si="5"/>
        <v>134.67269599005192</v>
      </c>
      <c r="I8" s="1">
        <f>LOOKUP(B8,'CBM4000 Eff'!$A$3:$A$28,'CBM4000 Eff'!$D$3:$D$28)</f>
        <v>0.96499999999999997</v>
      </c>
      <c r="J8" s="1">
        <f>LOOKUP(H8,'A4VSO 500 Eff'!$A$12:$A$35,'A4VSO 500 Eff'!$D$12:$D$35)</f>
        <v>0.8743024963289282</v>
      </c>
      <c r="K8" s="1">
        <v>0.99</v>
      </c>
      <c r="L8" s="41">
        <v>0.95899999999999996</v>
      </c>
      <c r="M8" s="2">
        <f t="shared" si="6"/>
        <v>0.80101902938325997</v>
      </c>
      <c r="N8" s="6">
        <f t="shared" si="7"/>
        <v>260.46347175103455</v>
      </c>
      <c r="O8" s="6"/>
      <c r="P8" t="s">
        <v>54</v>
      </c>
      <c r="Q8" t="s">
        <v>55</v>
      </c>
      <c r="R8" s="7">
        <v>28.71</v>
      </c>
      <c r="V8" t="s">
        <v>51</v>
      </c>
      <c r="W8">
        <v>4000</v>
      </c>
      <c r="X8">
        <v>253464</v>
      </c>
      <c r="Y8">
        <v>4000</v>
      </c>
      <c r="Z8">
        <f t="shared" si="9"/>
        <v>840</v>
      </c>
      <c r="AA8">
        <v>5800</v>
      </c>
      <c r="AD8" s="5" t="s">
        <v>41</v>
      </c>
      <c r="AE8">
        <v>500</v>
      </c>
      <c r="AF8">
        <v>795</v>
      </c>
      <c r="AG8">
        <f t="shared" si="0"/>
        <v>2782.5</v>
      </c>
      <c r="AH8">
        <v>320</v>
      </c>
      <c r="AK8" s="8"/>
      <c r="AM8" s="6"/>
      <c r="AN8" s="6"/>
      <c r="AO8" s="6"/>
      <c r="AP8" s="6"/>
      <c r="AQ8" s="7"/>
    </row>
    <row r="9" spans="1:43" x14ac:dyDescent="0.25">
      <c r="A9" t="s">
        <v>46</v>
      </c>
      <c r="B9">
        <f t="shared" si="8"/>
        <v>1.4000000000000004</v>
      </c>
      <c r="C9" s="6">
        <v>0.4457000000000001</v>
      </c>
      <c r="D9" s="6">
        <f t="shared" si="1"/>
        <v>406.12342642778844</v>
      </c>
      <c r="E9" s="6">
        <v>7.9999999500000456</v>
      </c>
      <c r="F9" s="6">
        <f t="shared" si="2"/>
        <v>7.4505134858449003</v>
      </c>
      <c r="G9" s="6">
        <f t="shared" si="4"/>
        <v>520.52694846497809</v>
      </c>
      <c r="H9" s="7">
        <f t="shared" si="5"/>
        <v>154.59081901804947</v>
      </c>
      <c r="I9" s="1">
        <f>LOOKUP(B9,'CBM4000 Eff'!$A$3:$A$28,'CBM4000 Eff'!$D$3:$D$28)</f>
        <v>0.96399999999999997</v>
      </c>
      <c r="J9" s="1">
        <f>LOOKUP(H9,'A4VSO 500 Eff'!$A$12:$A$35,'A4VSO 500 Eff'!$D$12:$D$35)</f>
        <v>0.88387096774193552</v>
      </c>
      <c r="K9" s="1">
        <v>0.99</v>
      </c>
      <c r="L9" s="41">
        <v>0.95899999999999996</v>
      </c>
      <c r="M9" s="2">
        <f t="shared" si="6"/>
        <v>0.80894632180645165</v>
      </c>
      <c r="N9" s="6">
        <f t="shared" si="7"/>
        <v>328.53205200819252</v>
      </c>
      <c r="O9" s="6"/>
      <c r="P9" t="s">
        <v>56</v>
      </c>
      <c r="Q9" t="s">
        <v>28</v>
      </c>
      <c r="R9">
        <v>1.6</v>
      </c>
      <c r="V9" t="s">
        <v>51</v>
      </c>
      <c r="W9" t="s">
        <v>82</v>
      </c>
      <c r="X9">
        <v>201565</v>
      </c>
      <c r="Y9">
        <v>3200</v>
      </c>
      <c r="Z9">
        <f t="shared" si="9"/>
        <v>672</v>
      </c>
      <c r="AA9">
        <v>5800</v>
      </c>
      <c r="AD9" s="5" t="s">
        <v>41</v>
      </c>
      <c r="AE9">
        <v>750</v>
      </c>
      <c r="AF9">
        <v>1193</v>
      </c>
      <c r="AG9">
        <f t="shared" si="0"/>
        <v>4175.5</v>
      </c>
      <c r="AH9">
        <v>460</v>
      </c>
      <c r="AK9" s="8"/>
      <c r="AM9" s="6"/>
      <c r="AN9" s="6"/>
      <c r="AO9" s="6"/>
      <c r="AP9" s="6"/>
      <c r="AQ9" s="7"/>
    </row>
    <row r="10" spans="1:43" ht="15.75" thickBot="1" x14ac:dyDescent="0.3">
      <c r="A10" t="s">
        <v>46</v>
      </c>
      <c r="B10">
        <f t="shared" si="8"/>
        <v>1.5000000000000004</v>
      </c>
      <c r="C10" s="6">
        <v>0.44569999999999999</v>
      </c>
      <c r="D10" s="6">
        <f t="shared" si="1"/>
        <v>499.51405400648167</v>
      </c>
      <c r="E10" s="6">
        <v>7.999999950000074</v>
      </c>
      <c r="F10" s="6">
        <f t="shared" si="2"/>
        <v>7.9826930205481368</v>
      </c>
      <c r="G10" s="6">
        <f t="shared" si="4"/>
        <v>597.54369083989604</v>
      </c>
      <c r="H10" s="7">
        <f t="shared" si="5"/>
        <v>175.98435856663778</v>
      </c>
      <c r="I10" s="1">
        <f>LOOKUP(B10,'CBM4000 Eff'!$A$3:$A$28,'CBM4000 Eff'!$D$3:$D$28)</f>
        <v>0.96299999999999997</v>
      </c>
      <c r="J10" s="1">
        <f>LOOKUP(H10,'A4VSO 500 Eff'!$A$12:$A$35,'A4VSO 500 Eff'!$D$12:$D$35)</f>
        <v>0.89075565784426536</v>
      </c>
      <c r="K10" s="1">
        <v>0.99</v>
      </c>
      <c r="L10" s="41">
        <v>0.95899999999999996</v>
      </c>
      <c r="M10" s="2">
        <f t="shared" si="6"/>
        <v>0.81440171293670882</v>
      </c>
      <c r="N10" s="6">
        <f t="shared" si="7"/>
        <v>406.80510121883833</v>
      </c>
      <c r="O10" s="6"/>
      <c r="P10" t="s">
        <v>57</v>
      </c>
      <c r="Q10" t="s">
        <v>58</v>
      </c>
      <c r="R10">
        <f>Y17</f>
        <v>3600</v>
      </c>
      <c r="V10" t="s">
        <v>51</v>
      </c>
      <c r="W10" t="s">
        <v>85</v>
      </c>
      <c r="X10">
        <v>214508</v>
      </c>
      <c r="Y10">
        <v>3400</v>
      </c>
      <c r="Z10">
        <f t="shared" si="9"/>
        <v>714</v>
      </c>
      <c r="AA10">
        <v>5800</v>
      </c>
      <c r="AD10" s="5" t="s">
        <v>41</v>
      </c>
      <c r="AE10">
        <v>1000</v>
      </c>
      <c r="AF10">
        <v>1590</v>
      </c>
      <c r="AG10">
        <f>AF10*3.5</f>
        <v>5565</v>
      </c>
      <c r="AH10">
        <v>650</v>
      </c>
      <c r="AK10" s="8"/>
      <c r="AM10" s="6"/>
      <c r="AN10" s="6"/>
      <c r="AO10" s="6"/>
      <c r="AP10" s="6"/>
      <c r="AQ10" s="7"/>
    </row>
    <row r="11" spans="1:43" ht="15.75" thickBot="1" x14ac:dyDescent="0.3">
      <c r="A11" s="22" t="s">
        <v>70</v>
      </c>
      <c r="B11" s="23">
        <f t="shared" si="8"/>
        <v>1.6000000000000005</v>
      </c>
      <c r="C11" s="24">
        <v>0.44565991648485886</v>
      </c>
      <c r="D11" s="24">
        <f t="shared" si="1"/>
        <v>606.17053620785009</v>
      </c>
      <c r="E11" s="24">
        <v>7.9999999499999888</v>
      </c>
      <c r="F11" s="24">
        <f t="shared" si="2"/>
        <v>8.5148725552512552</v>
      </c>
      <c r="G11" s="24">
        <f t="shared" si="4"/>
        <v>679.81078919129379</v>
      </c>
      <c r="H11" s="25">
        <f t="shared" si="5"/>
        <v>198.83633033091493</v>
      </c>
      <c r="I11" s="26">
        <f>LOOKUP(B11,'CBM4000 Eff'!$A$3:$A$28,'CBM4000 Eff'!$D$3:$D$28)</f>
        <v>0.96199999999999997</v>
      </c>
      <c r="J11" s="26">
        <f>LOOKUP(H11,'A4VSO 500 Eff'!$A$12:$A$35,'A4VSO 500 Eff'!$D$12:$D$35)</f>
        <v>0.89574247144340602</v>
      </c>
      <c r="K11" s="26">
        <v>0.99</v>
      </c>
      <c r="L11" s="42">
        <v>0.95899999999999996</v>
      </c>
      <c r="M11" s="43">
        <f t="shared" si="6"/>
        <v>0.81811063914018678</v>
      </c>
      <c r="N11" s="27">
        <f t="shared" si="7"/>
        <v>495.91456480495395</v>
      </c>
      <c r="O11" s="6"/>
      <c r="P11" t="s">
        <v>59</v>
      </c>
      <c r="R11">
        <v>0.98</v>
      </c>
      <c r="V11" t="s">
        <v>51</v>
      </c>
      <c r="W11" t="s">
        <v>83</v>
      </c>
      <c r="X11">
        <v>227514</v>
      </c>
      <c r="Y11">
        <v>3600</v>
      </c>
      <c r="Z11">
        <f t="shared" si="9"/>
        <v>756</v>
      </c>
      <c r="AA11">
        <v>5800</v>
      </c>
      <c r="AD11" s="5"/>
      <c r="AK11" s="8"/>
      <c r="AM11" s="6"/>
      <c r="AN11" s="6"/>
      <c r="AO11" s="6"/>
      <c r="AP11" s="6"/>
      <c r="AQ11" s="7"/>
    </row>
    <row r="12" spans="1:43" x14ac:dyDescent="0.25">
      <c r="A12" t="s">
        <v>46</v>
      </c>
      <c r="B12">
        <f t="shared" si="8"/>
        <v>1.7000000000000006</v>
      </c>
      <c r="C12" s="6">
        <f>C11</f>
        <v>0.44565991648485886</v>
      </c>
      <c r="D12" s="6">
        <f t="shared" ref="D12:N12" si="10">D11</f>
        <v>606.17053620785009</v>
      </c>
      <c r="E12" s="6">
        <f t="shared" si="10"/>
        <v>7.9999999499999888</v>
      </c>
      <c r="F12" s="6">
        <f t="shared" si="10"/>
        <v>8.5148725552512552</v>
      </c>
      <c r="G12" s="6">
        <f t="shared" si="10"/>
        <v>679.81078919129379</v>
      </c>
      <c r="H12" s="7">
        <f t="shared" si="10"/>
        <v>198.83633033091493</v>
      </c>
      <c r="I12" s="1">
        <f t="shared" si="10"/>
        <v>0.96199999999999997</v>
      </c>
      <c r="J12" s="1">
        <f t="shared" si="10"/>
        <v>0.89574247144340602</v>
      </c>
      <c r="K12" s="1">
        <f t="shared" si="10"/>
        <v>0.99</v>
      </c>
      <c r="L12" s="41">
        <v>0.95899999999999996</v>
      </c>
      <c r="M12" s="2">
        <f t="shared" si="10"/>
        <v>0.81811063914018678</v>
      </c>
      <c r="N12" s="6">
        <f t="shared" si="10"/>
        <v>495.91456480495395</v>
      </c>
      <c r="O12" s="6"/>
      <c r="P12" t="s">
        <v>61</v>
      </c>
      <c r="Q12" t="s">
        <v>81</v>
      </c>
      <c r="R12">
        <v>10</v>
      </c>
      <c r="V12" t="s">
        <v>51</v>
      </c>
      <c r="W12" t="s">
        <v>86</v>
      </c>
      <c r="X12">
        <v>240458</v>
      </c>
      <c r="Y12">
        <v>3800</v>
      </c>
      <c r="Z12">
        <f t="shared" si="9"/>
        <v>798</v>
      </c>
      <c r="AA12">
        <v>5800</v>
      </c>
      <c r="AD12" s="5"/>
      <c r="AE12" t="s">
        <v>62</v>
      </c>
      <c r="AF12" t="s">
        <v>25</v>
      </c>
      <c r="AG12" t="s">
        <v>26</v>
      </c>
      <c r="AH12" t="s">
        <v>22</v>
      </c>
      <c r="AK12" s="8"/>
      <c r="AM12" s="6"/>
      <c r="AN12" s="6"/>
      <c r="AO12" s="6"/>
      <c r="AP12" s="6"/>
      <c r="AQ12" s="7"/>
    </row>
    <row r="13" spans="1:43" x14ac:dyDescent="0.25">
      <c r="A13" t="s">
        <v>46</v>
      </c>
      <c r="B13">
        <f t="shared" si="8"/>
        <v>1.8000000000000007</v>
      </c>
      <c r="C13" s="6">
        <f t="shared" ref="C13:C19" si="11">C12</f>
        <v>0.44565991648485886</v>
      </c>
      <c r="D13" s="6">
        <f t="shared" ref="D13:D19" si="12">D12</f>
        <v>606.17053620785009</v>
      </c>
      <c r="E13" s="6">
        <f t="shared" ref="E13:E19" si="13">E12</f>
        <v>7.9999999499999888</v>
      </c>
      <c r="F13" s="6">
        <f t="shared" ref="F13:F19" si="14">F12</f>
        <v>8.5148725552512552</v>
      </c>
      <c r="G13" s="6">
        <f t="shared" ref="G13:G19" si="15">G12</f>
        <v>679.81078919129379</v>
      </c>
      <c r="H13" s="7">
        <f t="shared" ref="H13:H19" si="16">H12</f>
        <v>198.83633033091493</v>
      </c>
      <c r="I13" s="1">
        <f t="shared" ref="I13:I19" si="17">I12</f>
        <v>0.96199999999999997</v>
      </c>
      <c r="J13" s="1">
        <f t="shared" ref="J13:J19" si="18">J12</f>
        <v>0.89574247144340602</v>
      </c>
      <c r="K13" s="1">
        <f t="shared" ref="K13:K19" si="19">K12</f>
        <v>0.99</v>
      </c>
      <c r="L13" s="41">
        <v>0.95899999999999996</v>
      </c>
      <c r="M13" s="2">
        <f t="shared" ref="M13:M19" si="20">M12</f>
        <v>0.81811063914018678</v>
      </c>
      <c r="N13" s="6">
        <f t="shared" ref="N13:N19" si="21">N12</f>
        <v>495.91456480495395</v>
      </c>
      <c r="O13" s="6"/>
      <c r="P13" t="s">
        <v>64</v>
      </c>
      <c r="Q13" t="s">
        <v>65</v>
      </c>
      <c r="R13">
        <v>1025.9000000000001</v>
      </c>
      <c r="V13" t="s">
        <v>51</v>
      </c>
      <c r="W13">
        <v>5000</v>
      </c>
      <c r="X13">
        <v>316798</v>
      </c>
      <c r="Y13">
        <v>5000</v>
      </c>
      <c r="Z13">
        <f t="shared" si="9"/>
        <v>1050</v>
      </c>
      <c r="AA13">
        <v>6700</v>
      </c>
      <c r="AD13" s="5" t="s">
        <v>63</v>
      </c>
      <c r="AE13">
        <v>16</v>
      </c>
      <c r="AF13" s="8">
        <f>AG13*2.1/4</f>
        <v>53.550000000000004</v>
      </c>
      <c r="AG13" s="8">
        <v>102</v>
      </c>
      <c r="AH13">
        <v>13.5</v>
      </c>
      <c r="AK13" s="8"/>
      <c r="AM13" s="6"/>
      <c r="AN13" s="6"/>
      <c r="AO13" s="6"/>
      <c r="AP13" s="6"/>
      <c r="AQ13" s="7"/>
    </row>
    <row r="14" spans="1:43" x14ac:dyDescent="0.25">
      <c r="A14" t="s">
        <v>46</v>
      </c>
      <c r="B14">
        <f t="shared" si="8"/>
        <v>1.9000000000000008</v>
      </c>
      <c r="C14" s="6">
        <f t="shared" si="11"/>
        <v>0.44565991648485886</v>
      </c>
      <c r="D14" s="6">
        <f t="shared" si="12"/>
        <v>606.17053620785009</v>
      </c>
      <c r="E14" s="6">
        <f t="shared" si="13"/>
        <v>7.9999999499999888</v>
      </c>
      <c r="F14" s="6">
        <f t="shared" si="14"/>
        <v>8.5148725552512552</v>
      </c>
      <c r="G14" s="6">
        <f t="shared" si="15"/>
        <v>679.81078919129379</v>
      </c>
      <c r="H14" s="7">
        <f t="shared" si="16"/>
        <v>198.83633033091493</v>
      </c>
      <c r="I14" s="1">
        <f t="shared" si="17"/>
        <v>0.96199999999999997</v>
      </c>
      <c r="J14" s="1">
        <f t="shared" si="18"/>
        <v>0.89574247144340602</v>
      </c>
      <c r="K14" s="1">
        <f t="shared" si="19"/>
        <v>0.99</v>
      </c>
      <c r="L14" s="41">
        <v>0.95899999999999996</v>
      </c>
      <c r="M14" s="2">
        <f t="shared" si="20"/>
        <v>0.81811063914018678</v>
      </c>
      <c r="N14" s="6">
        <f t="shared" si="21"/>
        <v>495.91456480495395</v>
      </c>
      <c r="O14" s="6"/>
      <c r="P14" t="s">
        <v>66</v>
      </c>
      <c r="Q14" s="6"/>
      <c r="R14">
        <v>0.85</v>
      </c>
      <c r="V14" t="s">
        <v>51</v>
      </c>
      <c r="W14" t="s">
        <v>84</v>
      </c>
      <c r="X14">
        <v>354246</v>
      </c>
      <c r="Y14">
        <v>4600</v>
      </c>
      <c r="Z14">
        <f t="shared" si="9"/>
        <v>966</v>
      </c>
      <c r="AA14">
        <v>6700</v>
      </c>
      <c r="AD14" s="5" t="s">
        <v>63</v>
      </c>
      <c r="AE14">
        <v>22</v>
      </c>
      <c r="AF14" s="8">
        <f t="shared" ref="AF14:AF16" si="22">AG14*2.1/4</f>
        <v>73.5</v>
      </c>
      <c r="AG14" s="8">
        <v>140</v>
      </c>
      <c r="AH14">
        <v>13.5</v>
      </c>
      <c r="AK14" s="8"/>
      <c r="AM14" s="6"/>
      <c r="AN14" s="6"/>
      <c r="AO14" s="6"/>
      <c r="AP14" s="6"/>
      <c r="AQ14" s="7"/>
    </row>
    <row r="15" spans="1:43" x14ac:dyDescent="0.25">
      <c r="A15" t="s">
        <v>46</v>
      </c>
      <c r="B15">
        <f t="shared" si="8"/>
        <v>2.0000000000000009</v>
      </c>
      <c r="C15" s="6">
        <f t="shared" si="11"/>
        <v>0.44565991648485886</v>
      </c>
      <c r="D15" s="6">
        <f t="shared" si="12"/>
        <v>606.17053620785009</v>
      </c>
      <c r="E15" s="6">
        <f t="shared" si="13"/>
        <v>7.9999999499999888</v>
      </c>
      <c r="F15" s="6">
        <f t="shared" si="14"/>
        <v>8.5148725552512552</v>
      </c>
      <c r="G15" s="6">
        <f t="shared" si="15"/>
        <v>679.81078919129379</v>
      </c>
      <c r="H15" s="7">
        <f t="shared" si="16"/>
        <v>198.83633033091493</v>
      </c>
      <c r="I15" s="1">
        <f t="shared" si="17"/>
        <v>0.96199999999999997</v>
      </c>
      <c r="J15" s="1">
        <f t="shared" si="18"/>
        <v>0.89574247144340602</v>
      </c>
      <c r="K15" s="1">
        <f t="shared" si="19"/>
        <v>0.99</v>
      </c>
      <c r="L15" s="41">
        <v>0.95899999999999996</v>
      </c>
      <c r="M15" s="2">
        <f t="shared" si="20"/>
        <v>0.81811063914018678</v>
      </c>
      <c r="N15" s="6">
        <f t="shared" si="21"/>
        <v>495.91456480495395</v>
      </c>
      <c r="O15" s="6"/>
      <c r="V15" t="s">
        <v>51</v>
      </c>
      <c r="W15">
        <v>6000</v>
      </c>
      <c r="X15">
        <v>380133</v>
      </c>
      <c r="Y15">
        <v>6000</v>
      </c>
      <c r="Z15">
        <f t="shared" si="9"/>
        <v>1260</v>
      </c>
      <c r="AA15">
        <v>7500</v>
      </c>
      <c r="AB15">
        <v>309900</v>
      </c>
      <c r="AD15" s="5" t="s">
        <v>63</v>
      </c>
      <c r="AE15">
        <v>28</v>
      </c>
      <c r="AF15" s="8">
        <f t="shared" si="22"/>
        <v>93.45</v>
      </c>
      <c r="AG15" s="8">
        <v>178</v>
      </c>
      <c r="AH15">
        <v>13.5</v>
      </c>
      <c r="AK15" s="8"/>
      <c r="AM15" s="6"/>
      <c r="AN15" s="6"/>
      <c r="AO15" s="6"/>
      <c r="AP15" s="6"/>
      <c r="AQ15" s="7"/>
    </row>
    <row r="16" spans="1:43" ht="15.75" thickBot="1" x14ac:dyDescent="0.3">
      <c r="A16" t="s">
        <v>46</v>
      </c>
      <c r="B16">
        <f t="shared" si="8"/>
        <v>2.100000000000001</v>
      </c>
      <c r="C16" s="6">
        <f t="shared" si="11"/>
        <v>0.44565991648485886</v>
      </c>
      <c r="D16" s="6">
        <f t="shared" si="12"/>
        <v>606.17053620785009</v>
      </c>
      <c r="E16" s="6">
        <f t="shared" si="13"/>
        <v>7.9999999499999888</v>
      </c>
      <c r="F16" s="6">
        <f t="shared" si="14"/>
        <v>8.5148725552512552</v>
      </c>
      <c r="G16" s="6">
        <f t="shared" si="15"/>
        <v>679.81078919129379</v>
      </c>
      <c r="H16" s="7">
        <f t="shared" si="16"/>
        <v>198.83633033091493</v>
      </c>
      <c r="I16" s="1">
        <f t="shared" si="17"/>
        <v>0.96199999999999997</v>
      </c>
      <c r="J16" s="1">
        <f t="shared" si="18"/>
        <v>0.89574247144340602</v>
      </c>
      <c r="K16" s="1">
        <f t="shared" si="19"/>
        <v>0.99</v>
      </c>
      <c r="L16" s="41">
        <v>0.95899999999999996</v>
      </c>
      <c r="M16" s="2">
        <f t="shared" si="20"/>
        <v>0.81811063914018678</v>
      </c>
      <c r="N16" s="6">
        <f t="shared" si="21"/>
        <v>495.91456480495395</v>
      </c>
      <c r="O16" s="6"/>
      <c r="AD16" s="5" t="s">
        <v>63</v>
      </c>
      <c r="AE16">
        <v>40</v>
      </c>
      <c r="AF16" s="8">
        <f t="shared" si="22"/>
        <v>133.35</v>
      </c>
      <c r="AG16" s="8">
        <v>254</v>
      </c>
      <c r="AH16">
        <v>16.5</v>
      </c>
      <c r="AK16" s="8"/>
      <c r="AM16" s="6"/>
      <c r="AN16" s="6"/>
      <c r="AO16" s="6"/>
      <c r="AP16" s="6"/>
      <c r="AQ16" s="7"/>
    </row>
    <row r="17" spans="1:43" ht="15.75" thickBot="1" x14ac:dyDescent="0.3">
      <c r="A17" t="s">
        <v>46</v>
      </c>
      <c r="B17">
        <f t="shared" si="8"/>
        <v>2.2000000000000011</v>
      </c>
      <c r="C17" s="6">
        <f t="shared" si="11"/>
        <v>0.44565991648485886</v>
      </c>
      <c r="D17" s="6">
        <f t="shared" si="12"/>
        <v>606.17053620785009</v>
      </c>
      <c r="E17" s="6">
        <f t="shared" si="13"/>
        <v>7.9999999499999888</v>
      </c>
      <c r="F17" s="6">
        <f t="shared" si="14"/>
        <v>8.5148725552512552</v>
      </c>
      <c r="G17" s="6">
        <f t="shared" si="15"/>
        <v>679.81078919129379</v>
      </c>
      <c r="H17" s="7">
        <f t="shared" si="16"/>
        <v>198.83633033091493</v>
      </c>
      <c r="I17" s="1">
        <f t="shared" si="17"/>
        <v>0.96199999999999997</v>
      </c>
      <c r="J17" s="1">
        <f t="shared" si="18"/>
        <v>0.89574247144340602</v>
      </c>
      <c r="K17" s="1">
        <f t="shared" si="19"/>
        <v>0.99</v>
      </c>
      <c r="L17" s="41">
        <v>0.95899999999999996</v>
      </c>
      <c r="M17" s="2">
        <f t="shared" si="20"/>
        <v>0.81811063914018678</v>
      </c>
      <c r="N17" s="6">
        <f t="shared" si="21"/>
        <v>495.91456480495395</v>
      </c>
      <c r="O17" s="6"/>
      <c r="Q17" s="6"/>
      <c r="V17" s="28" t="s">
        <v>51</v>
      </c>
      <c r="W17" s="29" t="s">
        <v>83</v>
      </c>
      <c r="X17" s="29">
        <f>LOOKUP($W$17,$W$3:$W$15,X3:X15)</f>
        <v>227514</v>
      </c>
      <c r="Y17" s="29">
        <f t="shared" ref="Y17:AA17" si="23">LOOKUP($W$17,$W$3:$W$15,Y3:Y15)</f>
        <v>3600</v>
      </c>
      <c r="Z17" s="29">
        <f t="shared" si="23"/>
        <v>756</v>
      </c>
      <c r="AA17" s="29">
        <f t="shared" si="23"/>
        <v>5800</v>
      </c>
      <c r="AB17" s="30"/>
      <c r="AD17" s="5" t="s">
        <v>63</v>
      </c>
      <c r="AE17">
        <v>71</v>
      </c>
      <c r="AF17" s="8">
        <f>AG17*2.1/3.5</f>
        <v>237</v>
      </c>
      <c r="AG17" s="8">
        <v>395</v>
      </c>
      <c r="AH17">
        <v>34</v>
      </c>
      <c r="AK17" s="8"/>
      <c r="AM17" s="6"/>
      <c r="AN17" s="6"/>
      <c r="AO17" s="6"/>
      <c r="AP17" s="6"/>
      <c r="AQ17" s="7"/>
    </row>
    <row r="18" spans="1:43" x14ac:dyDescent="0.25">
      <c r="A18" t="s">
        <v>46</v>
      </c>
      <c r="B18">
        <f t="shared" si="8"/>
        <v>2.3000000000000012</v>
      </c>
      <c r="C18" s="6">
        <f t="shared" si="11"/>
        <v>0.44565991648485886</v>
      </c>
      <c r="D18" s="6">
        <f t="shared" si="12"/>
        <v>606.17053620785009</v>
      </c>
      <c r="E18" s="6">
        <f t="shared" si="13"/>
        <v>7.9999999499999888</v>
      </c>
      <c r="F18" s="6">
        <f t="shared" si="14"/>
        <v>8.5148725552512552</v>
      </c>
      <c r="G18" s="6">
        <f t="shared" si="15"/>
        <v>679.81078919129379</v>
      </c>
      <c r="H18" s="7">
        <f t="shared" si="16"/>
        <v>198.83633033091493</v>
      </c>
      <c r="I18" s="1">
        <f t="shared" si="17"/>
        <v>0.96199999999999997</v>
      </c>
      <c r="J18" s="1">
        <f t="shared" si="18"/>
        <v>0.89574247144340602</v>
      </c>
      <c r="K18" s="1">
        <f t="shared" si="19"/>
        <v>0.99</v>
      </c>
      <c r="L18" s="41">
        <v>0.95899999999999996</v>
      </c>
      <c r="M18" s="2">
        <f t="shared" si="20"/>
        <v>0.81811063914018678</v>
      </c>
      <c r="N18" s="6">
        <f t="shared" si="21"/>
        <v>495.91456480495395</v>
      </c>
      <c r="O18" s="6"/>
      <c r="Q18" s="6"/>
      <c r="V18" s="31" t="s">
        <v>63</v>
      </c>
      <c r="AD18" s="5" t="s">
        <v>63</v>
      </c>
      <c r="AE18">
        <v>125</v>
      </c>
      <c r="AF18" s="8">
        <f t="shared" ref="AF18:AF22" si="24">AG18*2.1/3.5</f>
        <v>417.6</v>
      </c>
      <c r="AG18" s="8">
        <v>696</v>
      </c>
      <c r="AH18">
        <v>61</v>
      </c>
      <c r="AK18" s="8"/>
      <c r="AM18" s="6"/>
      <c r="AN18" s="6"/>
      <c r="AO18" s="6"/>
      <c r="AP18" s="6"/>
      <c r="AQ18" s="7"/>
    </row>
    <row r="19" spans="1:43" x14ac:dyDescent="0.25">
      <c r="A19" t="s">
        <v>46</v>
      </c>
      <c r="B19">
        <f t="shared" si="8"/>
        <v>2.4000000000000012</v>
      </c>
      <c r="C19" s="6">
        <f t="shared" si="11"/>
        <v>0.44565991648485886</v>
      </c>
      <c r="D19" s="6">
        <f t="shared" si="12"/>
        <v>606.17053620785009</v>
      </c>
      <c r="E19" s="6">
        <f t="shared" si="13"/>
        <v>7.9999999499999888</v>
      </c>
      <c r="F19" s="6">
        <f t="shared" si="14"/>
        <v>8.5148725552512552</v>
      </c>
      <c r="G19" s="6">
        <f t="shared" si="15"/>
        <v>679.81078919129379</v>
      </c>
      <c r="H19" s="7">
        <f t="shared" si="16"/>
        <v>198.83633033091493</v>
      </c>
      <c r="I19" s="1">
        <f t="shared" si="17"/>
        <v>0.96199999999999997</v>
      </c>
      <c r="J19" s="1">
        <f t="shared" si="18"/>
        <v>0.89574247144340602</v>
      </c>
      <c r="K19" s="1">
        <f t="shared" si="19"/>
        <v>0.99</v>
      </c>
      <c r="L19" s="41">
        <v>0.95899999999999996</v>
      </c>
      <c r="M19" s="2">
        <f t="shared" si="20"/>
        <v>0.81811063914018678</v>
      </c>
      <c r="N19" s="6">
        <f t="shared" si="21"/>
        <v>495.91456480495395</v>
      </c>
      <c r="O19" s="6"/>
      <c r="Q19" s="6"/>
      <c r="V19" s="31" t="s">
        <v>87</v>
      </c>
      <c r="AD19" s="5" t="s">
        <v>63</v>
      </c>
      <c r="AE19">
        <v>250</v>
      </c>
      <c r="AF19" s="8">
        <f t="shared" si="24"/>
        <v>834.6</v>
      </c>
      <c r="AG19" s="8">
        <v>1391</v>
      </c>
      <c r="AH19">
        <v>120</v>
      </c>
      <c r="AK19" s="8"/>
      <c r="AM19" s="6"/>
      <c r="AN19" s="6"/>
      <c r="AO19" s="6"/>
      <c r="AP19" s="6"/>
      <c r="AQ19" s="7"/>
    </row>
    <row r="20" spans="1:43" x14ac:dyDescent="0.25">
      <c r="J20" s="1"/>
      <c r="Q20" s="6"/>
      <c r="AD20" s="5" t="s">
        <v>63</v>
      </c>
      <c r="AE20">
        <v>500</v>
      </c>
      <c r="AF20" s="8">
        <f t="shared" si="24"/>
        <v>1669.8</v>
      </c>
      <c r="AG20" s="8">
        <v>2783</v>
      </c>
      <c r="AH20">
        <v>220</v>
      </c>
      <c r="AK20" s="8"/>
      <c r="AM20" s="6"/>
      <c r="AN20" s="6"/>
      <c r="AO20" s="6"/>
      <c r="AP20" s="6"/>
      <c r="AQ20" s="7"/>
    </row>
    <row r="21" spans="1:43" x14ac:dyDescent="0.25">
      <c r="Q21" s="6"/>
      <c r="AD21" s="5" t="s">
        <v>63</v>
      </c>
      <c r="AE21" s="9">
        <v>750</v>
      </c>
      <c r="AF21" s="10">
        <f t="shared" si="24"/>
        <v>2505.3000000000002</v>
      </c>
      <c r="AG21" s="10">
        <f>AG9</f>
        <v>4175.5</v>
      </c>
      <c r="AH21" s="10">
        <f>AH20*(AH9/AH8)</f>
        <v>316.25</v>
      </c>
      <c r="AK21" s="8"/>
      <c r="AM21" s="6"/>
      <c r="AN21" s="6"/>
      <c r="AO21" s="6"/>
      <c r="AP21" s="6"/>
      <c r="AQ21" s="7"/>
    </row>
    <row r="22" spans="1:43" x14ac:dyDescent="0.25">
      <c r="Q22" s="6"/>
      <c r="AD22" s="5" t="s">
        <v>63</v>
      </c>
      <c r="AE22" s="9">
        <v>1000</v>
      </c>
      <c r="AF22" s="10">
        <f t="shared" si="24"/>
        <v>3339</v>
      </c>
      <c r="AG22" s="10">
        <f>AG10</f>
        <v>5565</v>
      </c>
      <c r="AH22" s="10">
        <f>AH20*(AH10/AH8)</f>
        <v>446.875</v>
      </c>
      <c r="AK22" s="8"/>
      <c r="AM22" s="6"/>
      <c r="AN22" s="6"/>
      <c r="AO22" s="6"/>
      <c r="AP22" s="6"/>
      <c r="AQ22" s="7"/>
    </row>
    <row r="23" spans="1:43" x14ac:dyDescent="0.25">
      <c r="Q23" s="6"/>
      <c r="AK23" s="8"/>
      <c r="AM23" s="6"/>
      <c r="AN23" s="6"/>
      <c r="AO23" s="6"/>
      <c r="AP23" s="6"/>
      <c r="AQ23" s="7"/>
    </row>
    <row r="24" spans="1:43" x14ac:dyDescent="0.25">
      <c r="Q24" s="6"/>
      <c r="AK24" s="8"/>
      <c r="AM24" s="6"/>
      <c r="AN24" s="6"/>
      <c r="AO24" s="6"/>
      <c r="AP24" s="6"/>
      <c r="AQ24" s="7"/>
    </row>
    <row r="25" spans="1:43" x14ac:dyDescent="0.25">
      <c r="Q25" s="6"/>
      <c r="AK25" s="8"/>
      <c r="AM25" s="6"/>
      <c r="AN25" s="6"/>
      <c r="AO25" s="6"/>
      <c r="AP25" s="6"/>
      <c r="AQ25" s="7"/>
    </row>
    <row r="26" spans="1:43" x14ac:dyDescent="0.25">
      <c r="Q26" s="6"/>
      <c r="AK26" s="8"/>
      <c r="AM26" s="6"/>
      <c r="AN26" s="6"/>
      <c r="AO26" s="6"/>
      <c r="AP26" s="6"/>
      <c r="AQ26" s="7"/>
    </row>
    <row r="27" spans="1:43" x14ac:dyDescent="0.25">
      <c r="Q27" s="6"/>
      <c r="AK27" s="8"/>
      <c r="AM27" s="6"/>
      <c r="AN27" s="6"/>
      <c r="AO27" s="6"/>
      <c r="AP27" s="6"/>
      <c r="AQ27" s="7"/>
    </row>
    <row r="28" spans="1:43" x14ac:dyDescent="0.25">
      <c r="Q28" s="6"/>
    </row>
    <row r="29" spans="1:43" x14ac:dyDescent="0.25">
      <c r="Q29" s="6"/>
    </row>
    <row r="30" spans="1:43" x14ac:dyDescent="0.25">
      <c r="Q30" s="6"/>
    </row>
    <row r="31" spans="1:43" x14ac:dyDescent="0.25">
      <c r="Q31" s="6"/>
    </row>
    <row r="32" spans="1:43" x14ac:dyDescent="0.25">
      <c r="Q32" s="6"/>
    </row>
    <row r="33" spans="17:17" x14ac:dyDescent="0.25">
      <c r="Q33" s="6"/>
    </row>
    <row r="34" spans="17:17" x14ac:dyDescent="0.25">
      <c r="Q34" s="6"/>
    </row>
    <row r="35" spans="17:17" x14ac:dyDescent="0.25">
      <c r="Q35" s="6"/>
    </row>
    <row r="36" spans="17:17" x14ac:dyDescent="0.25">
      <c r="Q36" s="6"/>
    </row>
    <row r="37" spans="17:17" x14ac:dyDescent="0.25">
      <c r="Q37" s="6"/>
    </row>
    <row r="38" spans="17:17" x14ac:dyDescent="0.25">
      <c r="Q38" s="6"/>
    </row>
    <row r="39" spans="17:17" x14ac:dyDescent="0.25">
      <c r="Q39" s="6"/>
    </row>
  </sheetData>
  <dataValidations count="1">
    <dataValidation type="list" allowBlank="1" showInputMessage="1" showErrorMessage="1" sqref="W17">
      <formula1>$W$3:$W$15</formula1>
    </dataValidation>
  </dataValidation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9"/>
  <sheetViews>
    <sheetView zoomScale="80" zoomScaleNormal="80" workbookViewId="0">
      <selection activeCell="P27" sqref="P27"/>
    </sheetView>
  </sheetViews>
  <sheetFormatPr defaultRowHeight="15" x14ac:dyDescent="0.25"/>
  <cols>
    <col min="1" max="1" width="13.140625" bestFit="1" customWidth="1"/>
    <col min="2" max="2" width="10.28515625" bestFit="1" customWidth="1"/>
    <col min="3" max="5" width="10.28515625" customWidth="1"/>
    <col min="6" max="7" width="10.7109375" customWidth="1"/>
    <col min="8" max="13" width="10.85546875" customWidth="1"/>
    <col min="14" max="14" width="15.140625" customWidth="1"/>
    <col min="15" max="15" width="11.28515625" customWidth="1"/>
    <col min="16" max="16" width="28.5703125" bestFit="1" customWidth="1"/>
    <col min="17" max="17" width="11.28515625" customWidth="1"/>
    <col min="18" max="18" width="14" bestFit="1" customWidth="1"/>
    <col min="19" max="19" width="9.28515625" customWidth="1"/>
    <col min="23" max="23" width="10.5703125" bestFit="1" customWidth="1"/>
    <col min="24" max="25" width="9.7109375" customWidth="1"/>
    <col min="26" max="26" width="11" bestFit="1" customWidth="1"/>
    <col min="27" max="27" width="13.5703125" bestFit="1" customWidth="1"/>
    <col min="28" max="29" width="9.7109375" customWidth="1"/>
    <col min="30" max="30" width="13.28515625" bestFit="1" customWidth="1"/>
    <col min="33" max="33" width="11.5703125" bestFit="1" customWidth="1"/>
    <col min="34" max="34" width="12.85546875" bestFit="1" customWidth="1"/>
    <col min="35" max="35" width="10.7109375" bestFit="1" customWidth="1"/>
    <col min="36" max="36" width="6.7109375" bestFit="1" customWidth="1"/>
    <col min="37" max="37" width="15.5703125" bestFit="1" customWidth="1"/>
    <col min="39" max="39" width="28.140625" bestFit="1" customWidth="1"/>
    <col min="41" max="41" width="13" customWidth="1"/>
    <col min="44" max="44" width="9.140625" customWidth="1"/>
  </cols>
  <sheetData>
    <row r="1" spans="1:43" ht="45" x14ac:dyDescent="0.25">
      <c r="A1" t="s">
        <v>6</v>
      </c>
      <c r="B1" s="3" t="s">
        <v>7</v>
      </c>
      <c r="C1" t="s">
        <v>8</v>
      </c>
      <c r="D1" s="3" t="s">
        <v>9</v>
      </c>
      <c r="E1" t="s">
        <v>10</v>
      </c>
      <c r="F1" s="4" t="s">
        <v>11</v>
      </c>
      <c r="G1" s="4" t="s">
        <v>12</v>
      </c>
      <c r="H1" s="4" t="s">
        <v>14</v>
      </c>
      <c r="I1" s="4" t="s">
        <v>91</v>
      </c>
      <c r="J1" s="4" t="s">
        <v>92</v>
      </c>
      <c r="K1" s="4" t="s">
        <v>72</v>
      </c>
      <c r="L1" s="4" t="s">
        <v>73</v>
      </c>
      <c r="M1" s="4" t="s">
        <v>68</v>
      </c>
      <c r="N1" s="4" t="s">
        <v>15</v>
      </c>
      <c r="O1" s="4"/>
      <c r="S1" s="3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22</v>
      </c>
      <c r="AB1" t="s">
        <v>23</v>
      </c>
      <c r="AD1" t="s">
        <v>24</v>
      </c>
      <c r="AE1" t="s">
        <v>13</v>
      </c>
      <c r="AF1" t="s">
        <v>25</v>
      </c>
      <c r="AG1" t="s">
        <v>26</v>
      </c>
      <c r="AH1" t="s">
        <v>22</v>
      </c>
      <c r="AM1" t="s">
        <v>24</v>
      </c>
    </row>
    <row r="2" spans="1:43" x14ac:dyDescent="0.25">
      <c r="B2" s="5" t="s">
        <v>28</v>
      </c>
      <c r="C2" t="s">
        <v>29</v>
      </c>
      <c r="D2" s="5" t="s">
        <v>30</v>
      </c>
      <c r="E2" s="5" t="s">
        <v>31</v>
      </c>
      <c r="F2" s="5" t="s">
        <v>32</v>
      </c>
      <c r="G2" s="5" t="s">
        <v>33</v>
      </c>
      <c r="H2" s="5" t="s">
        <v>81</v>
      </c>
      <c r="I2" s="5" t="s">
        <v>90</v>
      </c>
      <c r="J2" s="5" t="s">
        <v>90</v>
      </c>
      <c r="K2" s="5" t="s">
        <v>90</v>
      </c>
      <c r="L2" s="5" t="s">
        <v>90</v>
      </c>
      <c r="M2" s="5" t="s">
        <v>90</v>
      </c>
      <c r="N2" s="5" t="s">
        <v>30</v>
      </c>
      <c r="P2" t="s">
        <v>36</v>
      </c>
      <c r="Q2" t="s">
        <v>35</v>
      </c>
      <c r="R2">
        <f>X17</f>
        <v>354246</v>
      </c>
      <c r="S2">
        <v>1</v>
      </c>
      <c r="V2" s="5" t="s">
        <v>29</v>
      </c>
      <c r="W2" s="5" t="s">
        <v>29</v>
      </c>
      <c r="X2" s="5" t="s">
        <v>37</v>
      </c>
      <c r="Y2" s="5" t="s">
        <v>38</v>
      </c>
      <c r="Z2" s="5" t="s">
        <v>33</v>
      </c>
      <c r="AA2" s="5" t="s">
        <v>39</v>
      </c>
      <c r="AB2" s="5" t="s">
        <v>40</v>
      </c>
      <c r="AD2" s="5" t="s">
        <v>41</v>
      </c>
      <c r="AE2">
        <v>40</v>
      </c>
      <c r="AF2">
        <v>64</v>
      </c>
      <c r="AG2">
        <f t="shared" ref="AG2:AG9" si="0">AF2*3.5</f>
        <v>224</v>
      </c>
      <c r="AH2">
        <v>39</v>
      </c>
    </row>
    <row r="3" spans="1:43" x14ac:dyDescent="0.25">
      <c r="A3" t="s">
        <v>43</v>
      </c>
      <c r="B3">
        <v>0.8</v>
      </c>
      <c r="C3" s="6">
        <v>0.44570000000000004</v>
      </c>
      <c r="D3" s="6">
        <f t="shared" ref="D3:D19" si="1">(0.5*$R$13*C3*PI()*(($R$8/2)^2)*B3^3/1000)</f>
        <v>75.778132044835104</v>
      </c>
      <c r="E3" s="6">
        <v>7.9999999500000456</v>
      </c>
      <c r="F3" s="6">
        <f t="shared" ref="F3:F19" si="2">((B3*E3)/($R$8/2))*(60/(2*PI()))</f>
        <v>4.2574362776256569</v>
      </c>
      <c r="G3" s="6">
        <f>D3/((2*PI()*F3/60))</f>
        <v>169.96798317223764</v>
      </c>
      <c r="H3" s="7">
        <f>G3/($S$2*$R$10/1000)+$R$12</f>
        <v>46.949561559182101</v>
      </c>
      <c r="I3" s="1">
        <f>LOOKUP(B3,'CBM5000 Eff'!$A$3:$A$28,'CBM5000 Eff'!$D$3:$D$28)</f>
        <v>0.95</v>
      </c>
      <c r="J3" s="1">
        <f>LOOKUP(H3,'A4VSO 750 Eff'!$A$12:$A$35,'A4VSO 750 Eff'!$D$12:$D$35)</f>
        <v>0.73521126760563393</v>
      </c>
      <c r="K3" s="1">
        <v>0.99</v>
      </c>
      <c r="L3" s="41">
        <v>0.95399999999999996</v>
      </c>
      <c r="M3" s="2">
        <f>I3*J3*K3*L3</f>
        <v>0.65965875211267611</v>
      </c>
      <c r="N3" s="6">
        <f>D3*M3</f>
        <v>49.987708022125517</v>
      </c>
      <c r="O3" s="6"/>
      <c r="P3" t="s">
        <v>44</v>
      </c>
      <c r="Q3" t="s">
        <v>35</v>
      </c>
      <c r="R3">
        <v>500</v>
      </c>
      <c r="S3">
        <v>2</v>
      </c>
      <c r="U3">
        <f>$R$2*$F$3/($R$6*$S$3)</f>
        <v>628.40823816824104</v>
      </c>
      <c r="V3" t="s">
        <v>45</v>
      </c>
      <c r="W3">
        <v>840</v>
      </c>
      <c r="X3">
        <v>52800</v>
      </c>
      <c r="Y3">
        <v>840</v>
      </c>
      <c r="Z3">
        <f t="shared" ref="Z3:Z4" si="3">Y3*210/1000</f>
        <v>176.4</v>
      </c>
      <c r="AA3">
        <v>2170</v>
      </c>
      <c r="AD3" s="5" t="s">
        <v>41</v>
      </c>
      <c r="AE3">
        <v>71</v>
      </c>
      <c r="AF3">
        <v>113</v>
      </c>
      <c r="AG3">
        <f t="shared" si="0"/>
        <v>395.5</v>
      </c>
      <c r="AH3">
        <v>53</v>
      </c>
      <c r="AK3" s="8"/>
      <c r="AN3" s="6"/>
      <c r="AO3" s="6"/>
      <c r="AP3" s="6"/>
      <c r="AQ3" s="7"/>
    </row>
    <row r="4" spans="1:43" x14ac:dyDescent="0.25">
      <c r="A4" t="s">
        <v>46</v>
      </c>
      <c r="B4">
        <f>B3+0.1</f>
        <v>0.9</v>
      </c>
      <c r="C4" s="6">
        <v>0.44569999999999999</v>
      </c>
      <c r="D4" s="6">
        <f t="shared" si="1"/>
        <v>107.89503566539996</v>
      </c>
      <c r="E4" s="6">
        <v>7.999999950000074</v>
      </c>
      <c r="F4" s="6">
        <f t="shared" si="2"/>
        <v>4.789615812328881</v>
      </c>
      <c r="G4" s="6">
        <f t="shared" ref="G4:G19" si="4">D4/((2*PI()*F4/60))</f>
        <v>215.11572870236247</v>
      </c>
      <c r="H4" s="7">
        <f t="shared" ref="H4:H19" si="5">G4/($S$2*$R$10/1000)+$R$12</f>
        <v>56.764288848339675</v>
      </c>
      <c r="I4" s="1">
        <f>LOOKUP(B4,'CBM5000 Eff'!$A$3:$A$28,'CBM5000 Eff'!$D$3:$D$28)</f>
        <v>0.95</v>
      </c>
      <c r="J4" s="1">
        <f>LOOKUP(H4,'A4VSO 750 Eff'!$A$12:$A$35,'A4VSO 750 Eff'!$D$12:$D$35)</f>
        <v>0.77222222222222237</v>
      </c>
      <c r="K4" s="1">
        <v>0.99</v>
      </c>
      <c r="L4" s="41">
        <v>0.95499999999999996</v>
      </c>
      <c r="M4" s="2">
        <f t="shared" ref="M4:M11" si="6">I4*J4*K4*L4</f>
        <v>0.69359262500000007</v>
      </c>
      <c r="N4" s="6">
        <f t="shared" ref="N4:N19" si="7">D4*M4</f>
        <v>74.835201011633387</v>
      </c>
      <c r="O4" s="6"/>
      <c r="P4" t="s">
        <v>47</v>
      </c>
      <c r="Q4" t="s">
        <v>35</v>
      </c>
      <c r="R4">
        <v>750</v>
      </c>
      <c r="S4">
        <v>2</v>
      </c>
      <c r="U4">
        <f>(($R$2*$F$11)-($R$3*$R$6*$S$3))/($R$6*$S$4)</f>
        <v>756.81647633647333</v>
      </c>
      <c r="V4" t="s">
        <v>45</v>
      </c>
      <c r="W4" t="s">
        <v>48</v>
      </c>
      <c r="X4">
        <v>70400</v>
      </c>
      <c r="Y4">
        <v>1120</v>
      </c>
      <c r="Z4">
        <f t="shared" si="3"/>
        <v>235.2</v>
      </c>
      <c r="AA4" s="8">
        <f>AA3*X4/X3</f>
        <v>2893.3333333333335</v>
      </c>
      <c r="AB4">
        <v>126485</v>
      </c>
      <c r="AD4" s="5" t="s">
        <v>41</v>
      </c>
      <c r="AE4">
        <v>125</v>
      </c>
      <c r="AF4">
        <v>199</v>
      </c>
      <c r="AG4">
        <f t="shared" si="0"/>
        <v>696.5</v>
      </c>
      <c r="AH4">
        <v>88</v>
      </c>
      <c r="AK4" s="8"/>
      <c r="AM4" s="6"/>
      <c r="AN4" s="6"/>
      <c r="AO4" s="6"/>
      <c r="AP4" s="6"/>
      <c r="AQ4" s="7"/>
    </row>
    <row r="5" spans="1:43" x14ac:dyDescent="0.25">
      <c r="A5" t="s">
        <v>46</v>
      </c>
      <c r="B5">
        <f t="shared" ref="B5:B19" si="8">B4+0.1</f>
        <v>1</v>
      </c>
      <c r="C5" s="6">
        <v>0.44570000000000004</v>
      </c>
      <c r="D5" s="6">
        <f t="shared" si="1"/>
        <v>148.00416415006853</v>
      </c>
      <c r="E5" s="6">
        <v>7.999999950000074</v>
      </c>
      <c r="F5" s="6">
        <f t="shared" si="2"/>
        <v>5.3217953470320891</v>
      </c>
      <c r="G5" s="6">
        <f t="shared" si="4"/>
        <v>265.57497370662037</v>
      </c>
      <c r="H5" s="7">
        <f t="shared" si="5"/>
        <v>67.733689936221822</v>
      </c>
      <c r="I5" s="1">
        <f>LOOKUP(B5,'CBM5000 Eff'!$A$3:$A$28,'CBM5000 Eff'!$D$3:$D$28)</f>
        <v>0.95</v>
      </c>
      <c r="J5" s="1">
        <f>LOOKUP(H5,'A4VSO 750 Eff'!$A$12:$A$35,'A4VSO 750 Eff'!$D$12:$D$35)</f>
        <v>0.79872122762148356</v>
      </c>
      <c r="K5" s="1">
        <v>0.99</v>
      </c>
      <c r="L5" s="41">
        <v>0.95599999999999996</v>
      </c>
      <c r="M5" s="2">
        <f t="shared" si="6"/>
        <v>0.71814463273657303</v>
      </c>
      <c r="N5" s="6">
        <f t="shared" si="7"/>
        <v>106.28839610703443</v>
      </c>
      <c r="O5" s="6"/>
      <c r="P5" t="s">
        <v>49</v>
      </c>
      <c r="Q5" t="s">
        <v>30</v>
      </c>
      <c r="R5">
        <v>500</v>
      </c>
      <c r="V5" t="s">
        <v>51</v>
      </c>
      <c r="W5" t="s">
        <v>52</v>
      </c>
      <c r="X5">
        <v>75838</v>
      </c>
      <c r="Y5">
        <v>1200</v>
      </c>
      <c r="Z5">
        <f t="shared" ref="Z5:Z15" si="9">210*Y5/1000</f>
        <v>252</v>
      </c>
      <c r="AA5">
        <v>4100</v>
      </c>
      <c r="AB5">
        <v>146772</v>
      </c>
      <c r="AD5" s="5" t="s">
        <v>41</v>
      </c>
      <c r="AE5">
        <v>180</v>
      </c>
      <c r="AF5">
        <v>286</v>
      </c>
      <c r="AG5">
        <f t="shared" si="0"/>
        <v>1001</v>
      </c>
      <c r="AH5">
        <v>102</v>
      </c>
      <c r="AK5" s="8"/>
      <c r="AM5" s="6"/>
      <c r="AN5" s="6"/>
      <c r="AO5" s="6"/>
      <c r="AP5" s="6"/>
      <c r="AQ5" s="7"/>
    </row>
    <row r="6" spans="1:43" x14ac:dyDescent="0.25">
      <c r="A6" t="s">
        <v>46</v>
      </c>
      <c r="B6">
        <f t="shared" si="8"/>
        <v>1.1000000000000001</v>
      </c>
      <c r="C6" s="6">
        <v>0.44570000000000015</v>
      </c>
      <c r="D6" s="6">
        <f t="shared" si="1"/>
        <v>196.99354248374135</v>
      </c>
      <c r="E6" s="6">
        <v>7.999999950000074</v>
      </c>
      <c r="F6" s="6">
        <f t="shared" si="2"/>
        <v>5.8539748817352981</v>
      </c>
      <c r="G6" s="6">
        <f t="shared" si="4"/>
        <v>321.34571818501081</v>
      </c>
      <c r="H6" s="7">
        <f t="shared" si="5"/>
        <v>79.857764822828443</v>
      </c>
      <c r="I6" s="1">
        <f>LOOKUP(B6,'CBM5000 Eff'!$A$3:$A$28,'CBM5000 Eff'!$D$3:$D$28)</f>
        <v>0.95</v>
      </c>
      <c r="J6" s="1">
        <f>LOOKUP(H6,'A4VSO 750 Eff'!$A$12:$A$35,'A4VSO 750 Eff'!$D$12:$D$35)</f>
        <v>0.81850393700787405</v>
      </c>
      <c r="K6" s="1">
        <v>0.99</v>
      </c>
      <c r="L6" s="41">
        <v>0.95699999999999996</v>
      </c>
      <c r="M6" s="2">
        <f t="shared" si="6"/>
        <v>0.7367014257874015</v>
      </c>
      <c r="N6" s="6">
        <f t="shared" si="7"/>
        <v>145.1254236186833</v>
      </c>
      <c r="O6" s="6"/>
      <c r="P6" t="s">
        <v>50</v>
      </c>
      <c r="Q6" t="s">
        <v>34</v>
      </c>
      <c r="R6">
        <v>1200</v>
      </c>
      <c r="V6" t="s">
        <v>51</v>
      </c>
      <c r="W6">
        <v>2000</v>
      </c>
      <c r="X6">
        <v>126732</v>
      </c>
      <c r="Y6">
        <v>2000</v>
      </c>
      <c r="Z6">
        <f t="shared" si="9"/>
        <v>420</v>
      </c>
      <c r="AA6">
        <v>4100</v>
      </c>
      <c r="AB6">
        <v>204329</v>
      </c>
      <c r="AD6" s="5" t="s">
        <v>41</v>
      </c>
      <c r="AE6">
        <v>250</v>
      </c>
      <c r="AF6">
        <v>398</v>
      </c>
      <c r="AG6">
        <f t="shared" si="0"/>
        <v>1393</v>
      </c>
      <c r="AH6">
        <v>184</v>
      </c>
      <c r="AK6" s="8"/>
      <c r="AM6" s="6"/>
      <c r="AN6" s="6"/>
      <c r="AO6" s="6"/>
      <c r="AP6" s="6"/>
      <c r="AQ6" s="7"/>
    </row>
    <row r="7" spans="1:43" x14ac:dyDescent="0.25">
      <c r="A7" t="s">
        <v>46</v>
      </c>
      <c r="B7">
        <f t="shared" si="8"/>
        <v>1.2000000000000002</v>
      </c>
      <c r="C7" s="6">
        <v>0.44570000000000015</v>
      </c>
      <c r="D7" s="6">
        <f t="shared" si="1"/>
        <v>255.75119565131862</v>
      </c>
      <c r="E7" s="6">
        <v>7.999999950000074</v>
      </c>
      <c r="F7" s="6">
        <f t="shared" si="2"/>
        <v>6.3861544164385089</v>
      </c>
      <c r="G7" s="6">
        <f t="shared" si="4"/>
        <v>382.42796213753354</v>
      </c>
      <c r="H7" s="7">
        <f t="shared" si="5"/>
        <v>93.136513508159467</v>
      </c>
      <c r="I7" s="1">
        <f>LOOKUP(B7,'CBM5000 Eff'!$A$3:$A$28,'CBM5000 Eff'!$D$3:$D$28)</f>
        <v>0.95</v>
      </c>
      <c r="J7" s="1">
        <f>LOOKUP(H7,'A4VSO 750 Eff'!$A$12:$A$35,'A4VSO 750 Eff'!$D$12:$D$35)</f>
        <v>0.84573889392565749</v>
      </c>
      <c r="K7" s="1">
        <v>0.99</v>
      </c>
      <c r="L7" s="41">
        <v>0.95799999999999996</v>
      </c>
      <c r="M7" s="2">
        <f t="shared" si="6"/>
        <v>0.76200989768812344</v>
      </c>
      <c r="N7" s="6">
        <f t="shared" si="7"/>
        <v>194.88494243187654</v>
      </c>
      <c r="O7" s="6"/>
      <c r="P7" t="s">
        <v>53</v>
      </c>
      <c r="Q7" t="s">
        <v>29</v>
      </c>
      <c r="R7">
        <v>8</v>
      </c>
      <c r="V7" t="s">
        <v>51</v>
      </c>
      <c r="W7">
        <v>3000</v>
      </c>
      <c r="X7">
        <v>190066</v>
      </c>
      <c r="Y7">
        <v>3000</v>
      </c>
      <c r="Z7">
        <f t="shared" si="9"/>
        <v>630</v>
      </c>
      <c r="AA7">
        <v>5000</v>
      </c>
      <c r="AD7" s="5" t="s">
        <v>41</v>
      </c>
      <c r="AE7">
        <v>355</v>
      </c>
      <c r="AF7">
        <v>564</v>
      </c>
      <c r="AG7">
        <f t="shared" si="0"/>
        <v>1974</v>
      </c>
      <c r="AH7">
        <v>207</v>
      </c>
      <c r="AK7" s="8"/>
      <c r="AM7" s="6"/>
      <c r="AN7" s="6"/>
      <c r="AO7" s="6"/>
      <c r="AP7" s="6"/>
      <c r="AQ7" s="7"/>
    </row>
    <row r="8" spans="1:43" x14ac:dyDescent="0.25">
      <c r="A8" t="s">
        <v>46</v>
      </c>
      <c r="B8">
        <f t="shared" si="8"/>
        <v>1.3000000000000003</v>
      </c>
      <c r="C8" s="6">
        <v>0.44570000000000004</v>
      </c>
      <c r="D8" s="6">
        <f t="shared" si="1"/>
        <v>325.16514863770078</v>
      </c>
      <c r="E8" s="6">
        <v>7.9999999500001024</v>
      </c>
      <c r="F8" s="6">
        <f t="shared" si="2"/>
        <v>6.9183339511417419</v>
      </c>
      <c r="G8" s="6">
        <f t="shared" si="4"/>
        <v>448.82170556418697</v>
      </c>
      <c r="H8" s="7">
        <f t="shared" si="5"/>
        <v>107.56993599221457</v>
      </c>
      <c r="I8" s="1">
        <f>LOOKUP(B8,'CBM5000 Eff'!$A$3:$A$28,'CBM5000 Eff'!$D$3:$D$28)</f>
        <v>0.95</v>
      </c>
      <c r="J8" s="1">
        <f>LOOKUP(H8,'A4VSO 750 Eff'!$A$12:$A$35,'A4VSO 750 Eff'!$D$12:$D$35)</f>
        <v>0.85537190082644643</v>
      </c>
      <c r="K8" s="1">
        <v>0.99</v>
      </c>
      <c r="L8" s="41">
        <v>0.95899999999999996</v>
      </c>
      <c r="M8" s="2">
        <f t="shared" si="6"/>
        <v>0.77149370454545463</v>
      </c>
      <c r="N8" s="6">
        <f t="shared" si="7"/>
        <v>250.86286511157317</v>
      </c>
      <c r="O8" s="6"/>
      <c r="P8" t="s">
        <v>54</v>
      </c>
      <c r="Q8" t="s">
        <v>55</v>
      </c>
      <c r="R8" s="7">
        <v>28.71</v>
      </c>
      <c r="V8" t="s">
        <v>51</v>
      </c>
      <c r="W8">
        <v>4000</v>
      </c>
      <c r="X8">
        <v>253464</v>
      </c>
      <c r="Y8">
        <v>4000</v>
      </c>
      <c r="Z8">
        <f t="shared" si="9"/>
        <v>840</v>
      </c>
      <c r="AA8">
        <v>5800</v>
      </c>
      <c r="AD8" s="5" t="s">
        <v>41</v>
      </c>
      <c r="AE8">
        <v>500</v>
      </c>
      <c r="AF8">
        <v>795</v>
      </c>
      <c r="AG8">
        <f t="shared" si="0"/>
        <v>2782.5</v>
      </c>
      <c r="AH8">
        <v>320</v>
      </c>
      <c r="AK8" s="8"/>
      <c r="AM8" s="6"/>
      <c r="AN8" s="6"/>
      <c r="AO8" s="6"/>
      <c r="AP8" s="6"/>
      <c r="AQ8" s="7"/>
    </row>
    <row r="9" spans="1:43" x14ac:dyDescent="0.25">
      <c r="A9" t="s">
        <v>46</v>
      </c>
      <c r="B9">
        <f t="shared" si="8"/>
        <v>1.4000000000000004</v>
      </c>
      <c r="C9" s="6">
        <v>0.4457000000000001</v>
      </c>
      <c r="D9" s="6">
        <f t="shared" si="1"/>
        <v>406.12342642778844</v>
      </c>
      <c r="E9" s="6">
        <v>7.9999999500000456</v>
      </c>
      <c r="F9" s="6">
        <f t="shared" si="2"/>
        <v>7.4505134858449003</v>
      </c>
      <c r="G9" s="6">
        <f t="shared" si="4"/>
        <v>520.52694846497809</v>
      </c>
      <c r="H9" s="7">
        <f t="shared" si="5"/>
        <v>123.15803227499525</v>
      </c>
      <c r="I9" s="1">
        <f>LOOKUP(B9,'CBM5000 Eff'!$A$3:$A$28,'CBM5000 Eff'!$D$3:$D$28)</f>
        <v>0.95</v>
      </c>
      <c r="J9" s="1">
        <f>LOOKUP(H9,'A4VSO 750 Eff'!$A$12:$A$35,'A4VSO 750 Eff'!$D$12:$D$35)</f>
        <v>0.86966292134831458</v>
      </c>
      <c r="K9" s="1">
        <v>0.99</v>
      </c>
      <c r="L9" s="41">
        <v>0.95899999999999996</v>
      </c>
      <c r="M9" s="2">
        <f t="shared" si="6"/>
        <v>0.78438334044943814</v>
      </c>
      <c r="N9" s="6">
        <f t="shared" si="7"/>
        <v>318.55644985620035</v>
      </c>
      <c r="O9" s="6"/>
      <c r="P9" t="s">
        <v>56</v>
      </c>
      <c r="Q9" t="s">
        <v>28</v>
      </c>
      <c r="R9">
        <v>1.6</v>
      </c>
      <c r="V9" t="s">
        <v>51</v>
      </c>
      <c r="W9" t="s">
        <v>82</v>
      </c>
      <c r="X9">
        <v>201565</v>
      </c>
      <c r="Y9">
        <v>3200</v>
      </c>
      <c r="Z9">
        <f t="shared" si="9"/>
        <v>672</v>
      </c>
      <c r="AA9">
        <v>5800</v>
      </c>
      <c r="AD9" s="5" t="s">
        <v>41</v>
      </c>
      <c r="AE9">
        <v>750</v>
      </c>
      <c r="AF9">
        <v>1193</v>
      </c>
      <c r="AG9">
        <f t="shared" si="0"/>
        <v>4175.5</v>
      </c>
      <c r="AH9">
        <v>460</v>
      </c>
      <c r="AK9" s="8"/>
      <c r="AM9" s="6"/>
      <c r="AN9" s="6"/>
      <c r="AO9" s="6"/>
      <c r="AP9" s="6"/>
      <c r="AQ9" s="7"/>
    </row>
    <row r="10" spans="1:43" ht="15.75" thickBot="1" x14ac:dyDescent="0.3">
      <c r="A10" t="s">
        <v>46</v>
      </c>
      <c r="B10">
        <f t="shared" si="8"/>
        <v>1.5000000000000004</v>
      </c>
      <c r="C10" s="6">
        <v>0.44569999999999999</v>
      </c>
      <c r="D10" s="6">
        <f t="shared" si="1"/>
        <v>499.51405400648167</v>
      </c>
      <c r="E10" s="6">
        <v>7.999999950000074</v>
      </c>
      <c r="F10" s="6">
        <f t="shared" si="2"/>
        <v>7.9826930205481368</v>
      </c>
      <c r="G10" s="6">
        <f t="shared" si="4"/>
        <v>597.54369083989604</v>
      </c>
      <c r="H10" s="7">
        <f t="shared" si="5"/>
        <v>139.90080235649916</v>
      </c>
      <c r="I10" s="1">
        <f>LOOKUP(B10,'CBM5000 Eff'!$A$3:$A$28,'CBM5000 Eff'!$D$3:$D$28)</f>
        <v>0.95</v>
      </c>
      <c r="J10" s="1">
        <f>LOOKUP(H10,'A4VSO 750 Eff'!$A$12:$A$35,'A4VSO 750 Eff'!$D$12:$D$35)</f>
        <v>0.87501632919660366</v>
      </c>
      <c r="K10" s="1">
        <v>0.99</v>
      </c>
      <c r="L10" s="41">
        <v>0.95899999999999996</v>
      </c>
      <c r="M10" s="2">
        <f t="shared" si="6"/>
        <v>0.78921179044741996</v>
      </c>
      <c r="N10" s="6">
        <f t="shared" si="7"/>
        <v>394.22238091610461</v>
      </c>
      <c r="O10" s="6"/>
      <c r="P10" t="s">
        <v>57</v>
      </c>
      <c r="Q10" t="s">
        <v>58</v>
      </c>
      <c r="R10">
        <f>Y17</f>
        <v>4600</v>
      </c>
      <c r="V10" t="s">
        <v>51</v>
      </c>
      <c r="W10" t="s">
        <v>85</v>
      </c>
      <c r="X10">
        <v>214508</v>
      </c>
      <c r="Y10">
        <v>3400</v>
      </c>
      <c r="Z10">
        <f t="shared" si="9"/>
        <v>714</v>
      </c>
      <c r="AA10">
        <v>5800</v>
      </c>
      <c r="AD10" s="5" t="s">
        <v>41</v>
      </c>
      <c r="AE10">
        <v>1000</v>
      </c>
      <c r="AF10">
        <v>1590</v>
      </c>
      <c r="AG10">
        <f>AF10*3.5</f>
        <v>5565</v>
      </c>
      <c r="AH10">
        <v>650</v>
      </c>
      <c r="AK10" s="8"/>
      <c r="AM10" s="6"/>
      <c r="AN10" s="6"/>
      <c r="AO10" s="6"/>
      <c r="AP10" s="6"/>
      <c r="AQ10" s="7"/>
    </row>
    <row r="11" spans="1:43" ht="15.75" thickBot="1" x14ac:dyDescent="0.3">
      <c r="A11" s="22" t="s">
        <v>70</v>
      </c>
      <c r="B11" s="23">
        <f t="shared" si="8"/>
        <v>1.6000000000000005</v>
      </c>
      <c r="C11" s="24">
        <v>0.44565991648485886</v>
      </c>
      <c r="D11" s="24">
        <f t="shared" si="1"/>
        <v>606.17053620785009</v>
      </c>
      <c r="E11" s="24">
        <v>7.9999999499999888</v>
      </c>
      <c r="F11" s="24">
        <f t="shared" si="2"/>
        <v>8.5148725552512552</v>
      </c>
      <c r="G11" s="24">
        <f t="shared" si="4"/>
        <v>679.81078919129379</v>
      </c>
      <c r="H11" s="25">
        <f t="shared" si="5"/>
        <v>157.78495417202041</v>
      </c>
      <c r="I11" s="26">
        <f>LOOKUP(B11,'CBM5000 Eff'!$A$3:$A$28,'CBM5000 Eff'!$D$3:$D$28)</f>
        <v>0.95</v>
      </c>
      <c r="J11" s="26">
        <f>LOOKUP(H11,'A4VSO 750 Eff'!$A$12:$A$35,'A4VSO 750 Eff'!$D$12:$D$35)</f>
        <v>0.88323782234957005</v>
      </c>
      <c r="K11" s="26">
        <v>0.99</v>
      </c>
      <c r="L11" s="42">
        <v>0.95899999999999996</v>
      </c>
      <c r="M11" s="43">
        <f t="shared" si="6"/>
        <v>0.79662707987105996</v>
      </c>
      <c r="N11" s="27">
        <f t="shared" si="7"/>
        <v>482.89186416313424</v>
      </c>
      <c r="O11" s="6"/>
      <c r="P11" t="s">
        <v>59</v>
      </c>
      <c r="R11">
        <v>0.98</v>
      </c>
      <c r="V11" t="s">
        <v>51</v>
      </c>
      <c r="W11" t="s">
        <v>83</v>
      </c>
      <c r="X11">
        <v>227514</v>
      </c>
      <c r="Y11">
        <v>3600</v>
      </c>
      <c r="Z11">
        <f t="shared" si="9"/>
        <v>756</v>
      </c>
      <c r="AA11">
        <v>5800</v>
      </c>
      <c r="AD11" s="5"/>
      <c r="AK11" s="8"/>
      <c r="AM11" s="6"/>
      <c r="AN11" s="6"/>
      <c r="AO11" s="6"/>
      <c r="AP11" s="6"/>
      <c r="AQ11" s="7"/>
    </row>
    <row r="12" spans="1:43" x14ac:dyDescent="0.25">
      <c r="A12" t="s">
        <v>60</v>
      </c>
      <c r="B12">
        <f t="shared" si="8"/>
        <v>1.7000000000000006</v>
      </c>
      <c r="C12" s="6">
        <v>0.3715495660333773</v>
      </c>
      <c r="D12" s="6">
        <f t="shared" si="1"/>
        <v>606.17053620785032</v>
      </c>
      <c r="E12" s="6">
        <v>5.7305870336139249</v>
      </c>
      <c r="F12" s="6">
        <f t="shared" si="2"/>
        <v>6.4806149653942002</v>
      </c>
      <c r="G12" s="6">
        <f t="shared" si="4"/>
        <v>893.20261465287433</v>
      </c>
      <c r="H12" s="7">
        <f t="shared" si="5"/>
        <v>204.17448144627704</v>
      </c>
      <c r="I12" s="1">
        <f>LOOKUP(B12,'CBM5000 Eff'!$A$3:$A$28,'CBM5000 Eff'!$D$3:$D$28)</f>
        <v>0.95</v>
      </c>
      <c r="J12" s="1">
        <f>LOOKUP(H12,'A4VSO 750 Eff'!$A$12:$A$35,'A4VSO 750 Eff'!$D$12:$D$35)</f>
        <v>0.89473684210526339</v>
      </c>
      <c r="K12" s="1">
        <v>0.99</v>
      </c>
      <c r="L12" s="41">
        <v>0.95899999999999996</v>
      </c>
      <c r="M12" s="2">
        <f t="shared" ref="M12:M19" si="10">M11</f>
        <v>0.79662707987105996</v>
      </c>
      <c r="N12" s="6">
        <f>D12*M12</f>
        <v>482.89186416313441</v>
      </c>
      <c r="O12" s="6"/>
      <c r="P12" t="s">
        <v>61</v>
      </c>
      <c r="Q12" t="s">
        <v>81</v>
      </c>
      <c r="R12">
        <v>10</v>
      </c>
      <c r="V12" t="s">
        <v>51</v>
      </c>
      <c r="W12" t="s">
        <v>86</v>
      </c>
      <c r="X12">
        <v>240458</v>
      </c>
      <c r="Y12">
        <v>3800</v>
      </c>
      <c r="Z12">
        <f t="shared" si="9"/>
        <v>798</v>
      </c>
      <c r="AA12">
        <v>5800</v>
      </c>
      <c r="AD12" s="5"/>
      <c r="AE12" t="s">
        <v>62</v>
      </c>
      <c r="AF12" t="s">
        <v>25</v>
      </c>
      <c r="AG12" t="s">
        <v>26</v>
      </c>
      <c r="AH12" t="s">
        <v>22</v>
      </c>
      <c r="AK12" s="8"/>
      <c r="AM12" s="6"/>
      <c r="AN12" s="6"/>
      <c r="AO12" s="6"/>
      <c r="AP12" s="6"/>
      <c r="AQ12" s="7"/>
    </row>
    <row r="13" spans="1:43" x14ac:dyDescent="0.25">
      <c r="A13" t="s">
        <v>60</v>
      </c>
      <c r="B13">
        <f t="shared" si="8"/>
        <v>1.8000000000000007</v>
      </c>
      <c r="C13" s="6">
        <v>0.31300120334739062</v>
      </c>
      <c r="D13" s="6">
        <f t="shared" si="1"/>
        <v>606.1705362078502</v>
      </c>
      <c r="E13" s="6">
        <v>5.0396597912587691</v>
      </c>
      <c r="F13" s="6">
        <f t="shared" si="2"/>
        <v>6.0345085939583916</v>
      </c>
      <c r="G13" s="6">
        <f t="shared" si="4"/>
        <v>959.23340592205943</v>
      </c>
      <c r="H13" s="7">
        <f t="shared" si="5"/>
        <v>218.52900128740424</v>
      </c>
      <c r="I13" s="1">
        <f>LOOKUP(B13,'CBM5000 Eff'!$A$3:$A$28,'CBM5000 Eff'!$D$3:$D$28)</f>
        <v>0.95</v>
      </c>
      <c r="J13" s="1">
        <f>LOOKUP(H13,'A4VSO 750 Eff'!$A$12:$A$35,'A4VSO 750 Eff'!$D$12:$D$35)</f>
        <v>0.89604105571847503</v>
      </c>
      <c r="K13" s="1">
        <v>0.99</v>
      </c>
      <c r="L13" s="41">
        <v>0.95899999999999996</v>
      </c>
      <c r="M13" s="2">
        <f t="shared" si="10"/>
        <v>0.79662707987105996</v>
      </c>
      <c r="N13" s="6">
        <f t="shared" si="7"/>
        <v>482.89186416313436</v>
      </c>
      <c r="O13" s="6"/>
      <c r="P13" t="s">
        <v>64</v>
      </c>
      <c r="Q13" t="s">
        <v>65</v>
      </c>
      <c r="R13">
        <v>1025.9000000000001</v>
      </c>
      <c r="V13" t="s">
        <v>51</v>
      </c>
      <c r="W13">
        <v>5000</v>
      </c>
      <c r="X13">
        <v>316798</v>
      </c>
      <c r="Y13">
        <v>5000</v>
      </c>
      <c r="Z13">
        <f t="shared" si="9"/>
        <v>1050</v>
      </c>
      <c r="AA13">
        <v>6700</v>
      </c>
      <c r="AD13" s="5" t="s">
        <v>63</v>
      </c>
      <c r="AE13">
        <v>16</v>
      </c>
      <c r="AF13" s="8">
        <f>AG13*2.1/4</f>
        <v>53.550000000000004</v>
      </c>
      <c r="AG13" s="8">
        <v>102</v>
      </c>
      <c r="AH13">
        <v>13.5</v>
      </c>
      <c r="AK13" s="8"/>
      <c r="AM13" s="6"/>
      <c r="AN13" s="6"/>
      <c r="AO13" s="6"/>
      <c r="AP13" s="6"/>
      <c r="AQ13" s="7"/>
    </row>
    <row r="14" spans="1:43" x14ac:dyDescent="0.25">
      <c r="A14" t="s">
        <v>60</v>
      </c>
      <c r="B14">
        <f t="shared" si="8"/>
        <v>1.9000000000000008</v>
      </c>
      <c r="C14" s="6">
        <v>0.26613544509724196</v>
      </c>
      <c r="D14" s="6">
        <f t="shared" si="1"/>
        <v>606.17053620785032</v>
      </c>
      <c r="E14" s="6">
        <v>4.5543044167940741</v>
      </c>
      <c r="F14" s="6">
        <f t="shared" si="2"/>
        <v>5.756305598864178</v>
      </c>
      <c r="G14" s="6">
        <f t="shared" si="4"/>
        <v>1005.5932806609192</v>
      </c>
      <c r="H14" s="7">
        <f t="shared" si="5"/>
        <v>228.60723492628679</v>
      </c>
      <c r="I14" s="1">
        <f>LOOKUP(B14,'CBM5000 Eff'!$A$3:$A$28,'CBM5000 Eff'!$D$3:$D$28)</f>
        <v>0.95</v>
      </c>
      <c r="J14" s="1">
        <f>LOOKUP(H14,'A4VSO 750 Eff'!$A$12:$A$35,'A4VSO 750 Eff'!$D$12:$D$35)</f>
        <v>0.89711307137129104</v>
      </c>
      <c r="K14" s="1">
        <v>0.99</v>
      </c>
      <c r="L14" s="41">
        <v>0.95899999999999996</v>
      </c>
      <c r="M14" s="2">
        <f t="shared" si="10"/>
        <v>0.79662707987105996</v>
      </c>
      <c r="N14" s="6">
        <f t="shared" si="7"/>
        <v>482.89186416313441</v>
      </c>
      <c r="O14" s="6"/>
      <c r="P14" t="s">
        <v>66</v>
      </c>
      <c r="Q14" s="6"/>
      <c r="R14">
        <v>0.85</v>
      </c>
      <c r="V14" t="s">
        <v>51</v>
      </c>
      <c r="W14" t="s">
        <v>84</v>
      </c>
      <c r="X14">
        <v>354246</v>
      </c>
      <c r="Y14">
        <v>4600</v>
      </c>
      <c r="Z14">
        <f t="shared" si="9"/>
        <v>966</v>
      </c>
      <c r="AA14">
        <v>6700</v>
      </c>
      <c r="AD14" s="5" t="s">
        <v>63</v>
      </c>
      <c r="AE14">
        <v>22</v>
      </c>
      <c r="AF14" s="8">
        <f t="shared" ref="AF14:AF16" si="11">AG14*2.1/4</f>
        <v>73.5</v>
      </c>
      <c r="AG14" s="8">
        <v>140</v>
      </c>
      <c r="AH14">
        <v>13.5</v>
      </c>
      <c r="AK14" s="8"/>
      <c r="AM14" s="6"/>
      <c r="AN14" s="6"/>
      <c r="AO14" s="6"/>
      <c r="AP14" s="6"/>
      <c r="AQ14" s="7"/>
    </row>
    <row r="15" spans="1:43" x14ac:dyDescent="0.25">
      <c r="A15" t="s">
        <v>60</v>
      </c>
      <c r="B15">
        <f t="shared" si="8"/>
        <v>2.0000000000000009</v>
      </c>
      <c r="C15" s="6">
        <v>0.2281778772402478</v>
      </c>
      <c r="D15" s="6">
        <f t="shared" si="1"/>
        <v>606.17053620785043</v>
      </c>
      <c r="E15" s="6">
        <v>4.1736540669748265</v>
      </c>
      <c r="F15" s="6">
        <f t="shared" si="2"/>
        <v>5.5528332331422066</v>
      </c>
      <c r="G15" s="6">
        <f t="shared" si="4"/>
        <v>1042.4412166927409</v>
      </c>
      <c r="H15" s="7">
        <f t="shared" si="5"/>
        <v>236.61765580276978</v>
      </c>
      <c r="I15" s="1">
        <f>LOOKUP(B15,'CBM5000 Eff'!$A$3:$A$28,'CBM5000 Eff'!$D$3:$D$28)</f>
        <v>0.95</v>
      </c>
      <c r="J15" s="1">
        <f>LOOKUP(H15,'A4VSO 750 Eff'!$A$12:$A$35,'A4VSO 750 Eff'!$D$12:$D$35)</f>
        <v>0.89798154555940024</v>
      </c>
      <c r="K15" s="1">
        <v>0.99</v>
      </c>
      <c r="L15" s="41">
        <v>0.95899999999999996</v>
      </c>
      <c r="M15" s="2">
        <f t="shared" si="10"/>
        <v>0.79662707987105996</v>
      </c>
      <c r="N15" s="6">
        <f t="shared" si="7"/>
        <v>482.89186416313453</v>
      </c>
      <c r="O15" s="6"/>
      <c r="V15" t="s">
        <v>51</v>
      </c>
      <c r="W15">
        <v>6000</v>
      </c>
      <c r="X15">
        <v>380133</v>
      </c>
      <c r="Y15">
        <v>6000</v>
      </c>
      <c r="Z15">
        <f t="shared" si="9"/>
        <v>1260</v>
      </c>
      <c r="AA15">
        <v>7500</v>
      </c>
      <c r="AB15">
        <v>309900</v>
      </c>
      <c r="AD15" s="5" t="s">
        <v>63</v>
      </c>
      <c r="AE15">
        <v>28</v>
      </c>
      <c r="AF15" s="8">
        <f t="shared" si="11"/>
        <v>93.45</v>
      </c>
      <c r="AG15" s="8">
        <v>178</v>
      </c>
      <c r="AH15">
        <v>13.5</v>
      </c>
      <c r="AK15" s="8"/>
      <c r="AM15" s="6"/>
      <c r="AN15" s="6"/>
      <c r="AO15" s="6"/>
      <c r="AP15" s="6"/>
      <c r="AQ15" s="7"/>
    </row>
    <row r="16" spans="1:43" ht="15.75" thickBot="1" x14ac:dyDescent="0.3">
      <c r="A16" t="s">
        <v>60</v>
      </c>
      <c r="B16">
        <f t="shared" si="8"/>
        <v>2.100000000000001</v>
      </c>
      <c r="C16" s="6">
        <v>0.19710862951322558</v>
      </c>
      <c r="D16" s="6">
        <f t="shared" si="1"/>
        <v>606.1705362078502</v>
      </c>
      <c r="E16" s="6">
        <v>3.8677530366800497</v>
      </c>
      <c r="F16" s="6">
        <f t="shared" si="2"/>
        <v>5.4031399387137711</v>
      </c>
      <c r="G16" s="6">
        <f t="shared" si="4"/>
        <v>1071.3219160165988</v>
      </c>
      <c r="H16" s="7">
        <f t="shared" si="5"/>
        <v>242.89606869926064</v>
      </c>
      <c r="I16" s="1">
        <f>LOOKUP(B16,'CBM5000 Eff'!$A$3:$A$28,'CBM5000 Eff'!$D$3:$D$28)</f>
        <v>0.95</v>
      </c>
      <c r="J16" s="1">
        <f>LOOKUP(H16,'A4VSO 750 Eff'!$A$12:$A$35,'A4VSO 750 Eff'!$D$12:$D$35)</f>
        <v>0.8986706056129985</v>
      </c>
      <c r="K16" s="1">
        <v>0.99</v>
      </c>
      <c r="L16" s="41">
        <v>0.95899999999999996</v>
      </c>
      <c r="M16" s="2">
        <f t="shared" si="10"/>
        <v>0.79662707987105996</v>
      </c>
      <c r="N16" s="6">
        <f t="shared" si="7"/>
        <v>482.89186416313436</v>
      </c>
      <c r="O16" s="6"/>
      <c r="AD16" s="5" t="s">
        <v>63</v>
      </c>
      <c r="AE16">
        <v>40</v>
      </c>
      <c r="AF16" s="8">
        <f t="shared" si="11"/>
        <v>133.35</v>
      </c>
      <c r="AG16" s="8">
        <v>254</v>
      </c>
      <c r="AH16">
        <v>16.5</v>
      </c>
      <c r="AK16" s="8"/>
      <c r="AM16" s="6"/>
      <c r="AN16" s="6"/>
      <c r="AO16" s="6"/>
      <c r="AP16" s="6"/>
      <c r="AQ16" s="7"/>
    </row>
    <row r="17" spans="1:43" ht="15.75" thickBot="1" x14ac:dyDescent="0.3">
      <c r="A17" t="s">
        <v>60</v>
      </c>
      <c r="B17">
        <f t="shared" si="8"/>
        <v>2.2000000000000011</v>
      </c>
      <c r="C17" s="6">
        <v>0.17143341640890139</v>
      </c>
      <c r="D17" s="6">
        <f t="shared" si="1"/>
        <v>606.1705362078502</v>
      </c>
      <c r="E17" s="6">
        <v>3.6195548288955677</v>
      </c>
      <c r="F17" s="6">
        <f t="shared" si="2"/>
        <v>5.2971957959620175</v>
      </c>
      <c r="G17" s="6">
        <f t="shared" si="4"/>
        <v>1092.7484002122676</v>
      </c>
      <c r="H17" s="7">
        <f t="shared" si="5"/>
        <v>247.55400004614515</v>
      </c>
      <c r="I17" s="1">
        <f>LOOKUP(B17,'CBM5000 Eff'!$A$3:$A$28,'CBM5000 Eff'!$D$3:$D$28)</f>
        <v>0.95</v>
      </c>
      <c r="J17" s="1">
        <f>LOOKUP(H17,'A4VSO 750 Eff'!$A$12:$A$35,'A4VSO 750 Eff'!$D$12:$D$35)</f>
        <v>0.8986706056129985</v>
      </c>
      <c r="K17" s="1">
        <v>0.99</v>
      </c>
      <c r="L17" s="41">
        <v>0.95899999999999996</v>
      </c>
      <c r="M17" s="2">
        <f t="shared" si="10"/>
        <v>0.79662707987105996</v>
      </c>
      <c r="N17" s="6">
        <f t="shared" si="7"/>
        <v>482.89186416313436</v>
      </c>
      <c r="O17" s="6"/>
      <c r="Q17" s="6"/>
      <c r="V17" s="28" t="s">
        <v>51</v>
      </c>
      <c r="W17" s="29" t="s">
        <v>84</v>
      </c>
      <c r="X17" s="29">
        <f>LOOKUP($W$17,$W$3:$W$15,X3:X15)</f>
        <v>354246</v>
      </c>
      <c r="Y17" s="29">
        <f t="shared" ref="Y17:AA17" si="12">LOOKUP($W$17,$W$3:$W$15,Y3:Y15)</f>
        <v>4600</v>
      </c>
      <c r="Z17" s="29">
        <f t="shared" si="12"/>
        <v>966</v>
      </c>
      <c r="AA17" s="29">
        <f t="shared" si="12"/>
        <v>6700</v>
      </c>
      <c r="AB17" s="30"/>
      <c r="AD17" s="5" t="s">
        <v>63</v>
      </c>
      <c r="AE17">
        <v>71</v>
      </c>
      <c r="AF17" s="8">
        <f>AG17*2.1/3.5</f>
        <v>237</v>
      </c>
      <c r="AG17" s="8">
        <v>395</v>
      </c>
      <c r="AH17">
        <v>34</v>
      </c>
      <c r="AK17" s="8"/>
      <c r="AM17" s="6"/>
      <c r="AN17" s="6"/>
      <c r="AO17" s="6"/>
      <c r="AP17" s="6"/>
      <c r="AQ17" s="7"/>
    </row>
    <row r="18" spans="1:43" x14ac:dyDescent="0.25">
      <c r="A18" t="s">
        <v>60</v>
      </c>
      <c r="B18">
        <f t="shared" si="8"/>
        <v>2.3000000000000012</v>
      </c>
      <c r="C18" s="6">
        <v>0.15003065816733649</v>
      </c>
      <c r="D18" s="6">
        <f t="shared" si="1"/>
        <v>606.17053620785066</v>
      </c>
      <c r="E18" s="6">
        <v>3.4074276897672542</v>
      </c>
      <c r="F18" s="6">
        <f t="shared" si="2"/>
        <v>5.2134194696999323</v>
      </c>
      <c r="G18" s="6">
        <f>D18/((2*PI()*F18/60))</f>
        <v>1110.3081701541689</v>
      </c>
      <c r="H18" s="7">
        <f t="shared" si="5"/>
        <v>251.37134133786282</v>
      </c>
      <c r="I18" s="1">
        <f>LOOKUP(B18,'CBM5000 Eff'!$A$3:$A$28,'CBM5000 Eff'!$D$3:$D$28)</f>
        <v>0.95</v>
      </c>
      <c r="J18" s="1">
        <f>LOOKUP(H18,'A4VSO 750 Eff'!$A$12:$A$35,'A4VSO 750 Eff'!$D$12:$D$35)</f>
        <v>0.89920071047957384</v>
      </c>
      <c r="K18" s="1">
        <v>0.99</v>
      </c>
      <c r="L18" s="41">
        <v>0.95899999999999996</v>
      </c>
      <c r="M18" s="2">
        <f t="shared" si="10"/>
        <v>0.79662707987105996</v>
      </c>
      <c r="N18" s="6">
        <f t="shared" si="7"/>
        <v>482.8918641631347</v>
      </c>
      <c r="O18" s="6"/>
      <c r="Q18" s="6"/>
      <c r="V18" s="31" t="s">
        <v>63</v>
      </c>
      <c r="AD18" s="5" t="s">
        <v>63</v>
      </c>
      <c r="AE18">
        <v>125</v>
      </c>
      <c r="AF18" s="8">
        <f t="shared" ref="AF18:AF22" si="13">AG18*2.1/3.5</f>
        <v>417.6</v>
      </c>
      <c r="AG18" s="8">
        <v>696</v>
      </c>
      <c r="AH18">
        <v>61</v>
      </c>
      <c r="AK18" s="8"/>
      <c r="AM18" s="6"/>
      <c r="AN18" s="6"/>
      <c r="AO18" s="6"/>
      <c r="AP18" s="6"/>
      <c r="AQ18" s="7"/>
    </row>
    <row r="19" spans="1:43" x14ac:dyDescent="0.25">
      <c r="A19" t="s">
        <v>60</v>
      </c>
      <c r="B19">
        <f t="shared" si="8"/>
        <v>2.4000000000000012</v>
      </c>
      <c r="C19" s="6">
        <v>0.13204738266218044</v>
      </c>
      <c r="D19" s="6">
        <f t="shared" si="1"/>
        <v>606.17053620785043</v>
      </c>
      <c r="E19" s="6">
        <v>3.2231765524796012</v>
      </c>
      <c r="F19" s="6">
        <f t="shared" si="2"/>
        <v>5.1459258260566543</v>
      </c>
      <c r="G19" s="6">
        <f t="shared" si="4"/>
        <v>1124.8709031790304</v>
      </c>
      <c r="H19" s="7">
        <f t="shared" si="5"/>
        <v>254.53715286500662</v>
      </c>
      <c r="I19" s="1">
        <f>LOOKUP(B19,'CBM5000 Eff'!$A$3:$A$28,'CBM5000 Eff'!$D$3:$D$28)</f>
        <v>0.95</v>
      </c>
      <c r="J19" s="1">
        <f>LOOKUP(H19,'A4VSO 750 Eff'!$A$12:$A$35,'A4VSO 750 Eff'!$D$12:$D$35)</f>
        <v>0.89920071047957384</v>
      </c>
      <c r="K19" s="1">
        <v>0.99</v>
      </c>
      <c r="L19" s="41">
        <v>0.95899999999999996</v>
      </c>
      <c r="M19" s="2">
        <f t="shared" si="10"/>
        <v>0.79662707987105996</v>
      </c>
      <c r="N19" s="6">
        <f t="shared" si="7"/>
        <v>482.89186416313453</v>
      </c>
      <c r="O19" s="6"/>
      <c r="Q19" s="6"/>
      <c r="V19" s="31" t="s">
        <v>87</v>
      </c>
      <c r="AD19" s="5" t="s">
        <v>63</v>
      </c>
      <c r="AE19">
        <v>250</v>
      </c>
      <c r="AF19" s="8">
        <f t="shared" si="13"/>
        <v>834.6</v>
      </c>
      <c r="AG19" s="8">
        <v>1391</v>
      </c>
      <c r="AH19">
        <v>120</v>
      </c>
      <c r="AK19" s="8"/>
      <c r="AM19" s="6"/>
      <c r="AN19" s="6"/>
      <c r="AO19" s="6"/>
      <c r="AP19" s="6"/>
      <c r="AQ19" s="7"/>
    </row>
    <row r="20" spans="1:43" x14ac:dyDescent="0.25">
      <c r="G20" s="6"/>
      <c r="H20" s="7"/>
      <c r="J20" s="1"/>
      <c r="Q20" s="6"/>
      <c r="AD20" s="5" t="s">
        <v>63</v>
      </c>
      <c r="AE20">
        <v>500</v>
      </c>
      <c r="AF20" s="8">
        <f t="shared" si="13"/>
        <v>1669.8</v>
      </c>
      <c r="AG20" s="8">
        <v>2783</v>
      </c>
      <c r="AH20">
        <v>220</v>
      </c>
      <c r="AK20" s="8"/>
      <c r="AM20" s="6"/>
      <c r="AN20" s="6"/>
      <c r="AO20" s="6"/>
      <c r="AP20" s="6"/>
      <c r="AQ20" s="7"/>
    </row>
    <row r="21" spans="1:43" x14ac:dyDescent="0.25">
      <c r="Q21" s="6"/>
      <c r="AD21" s="5" t="s">
        <v>63</v>
      </c>
      <c r="AE21" s="9">
        <v>750</v>
      </c>
      <c r="AF21" s="10">
        <f t="shared" si="13"/>
        <v>2505.3000000000002</v>
      </c>
      <c r="AG21" s="10">
        <f>AG9</f>
        <v>4175.5</v>
      </c>
      <c r="AH21" s="10">
        <f>AH20*(AH9/AH8)</f>
        <v>316.25</v>
      </c>
      <c r="AK21" s="8"/>
      <c r="AM21" s="6"/>
      <c r="AN21" s="6"/>
      <c r="AO21" s="6"/>
      <c r="AP21" s="6"/>
      <c r="AQ21" s="7"/>
    </row>
    <row r="22" spans="1:43" x14ac:dyDescent="0.25">
      <c r="Q22" s="6"/>
      <c r="AD22" s="5" t="s">
        <v>63</v>
      </c>
      <c r="AE22" s="9">
        <v>1000</v>
      </c>
      <c r="AF22" s="10">
        <f t="shared" si="13"/>
        <v>3339</v>
      </c>
      <c r="AG22" s="10">
        <f>AG10</f>
        <v>5565</v>
      </c>
      <c r="AH22" s="10">
        <f>AH20*(AH10/AH8)</f>
        <v>446.875</v>
      </c>
      <c r="AK22" s="8"/>
      <c r="AM22" s="6"/>
      <c r="AN22" s="6"/>
      <c r="AO22" s="6"/>
      <c r="AP22" s="6"/>
      <c r="AQ22" s="7"/>
    </row>
    <row r="23" spans="1:43" x14ac:dyDescent="0.25">
      <c r="Q23" s="6"/>
      <c r="AK23" s="8"/>
      <c r="AM23" s="6"/>
      <c r="AN23" s="6"/>
      <c r="AO23" s="6"/>
      <c r="AP23" s="6"/>
      <c r="AQ23" s="7"/>
    </row>
    <row r="24" spans="1:43" x14ac:dyDescent="0.25">
      <c r="Q24" s="6"/>
      <c r="AK24" s="8"/>
      <c r="AM24" s="6"/>
      <c r="AN24" s="6"/>
      <c r="AO24" s="6"/>
      <c r="AP24" s="6"/>
      <c r="AQ24" s="7"/>
    </row>
    <row r="25" spans="1:43" x14ac:dyDescent="0.25">
      <c r="Q25" s="6"/>
      <c r="AK25" s="8"/>
      <c r="AM25" s="6"/>
      <c r="AN25" s="6"/>
      <c r="AO25" s="6"/>
      <c r="AP25" s="6"/>
      <c r="AQ25" s="7"/>
    </row>
    <row r="26" spans="1:43" x14ac:dyDescent="0.25">
      <c r="Q26" s="6"/>
      <c r="AK26" s="8"/>
      <c r="AM26" s="6"/>
      <c r="AN26" s="6"/>
      <c r="AO26" s="6"/>
      <c r="AP26" s="6"/>
      <c r="AQ26" s="7"/>
    </row>
    <row r="27" spans="1:43" x14ac:dyDescent="0.25">
      <c r="Q27" s="6"/>
      <c r="AK27" s="8"/>
      <c r="AM27" s="6"/>
      <c r="AN27" s="6"/>
      <c r="AO27" s="6"/>
      <c r="AP27" s="6"/>
      <c r="AQ27" s="7"/>
    </row>
    <row r="28" spans="1:43" x14ac:dyDescent="0.25">
      <c r="Q28" s="6"/>
    </row>
    <row r="29" spans="1:43" x14ac:dyDescent="0.25">
      <c r="Q29" s="6"/>
    </row>
    <row r="30" spans="1:43" x14ac:dyDescent="0.25">
      <c r="Q30" s="6"/>
    </row>
    <row r="31" spans="1:43" x14ac:dyDescent="0.25">
      <c r="Q31" s="6"/>
    </row>
    <row r="32" spans="1:43" x14ac:dyDescent="0.25">
      <c r="Q32" s="6"/>
    </row>
    <row r="33" spans="17:17" x14ac:dyDescent="0.25">
      <c r="Q33" s="6"/>
    </row>
    <row r="34" spans="17:17" x14ac:dyDescent="0.25">
      <c r="Q34" s="6"/>
    </row>
    <row r="35" spans="17:17" x14ac:dyDescent="0.25">
      <c r="Q35" s="6"/>
    </row>
    <row r="36" spans="17:17" x14ac:dyDescent="0.25">
      <c r="Q36" s="6"/>
    </row>
    <row r="37" spans="17:17" x14ac:dyDescent="0.25">
      <c r="Q37" s="6"/>
    </row>
    <row r="38" spans="17:17" x14ac:dyDescent="0.25">
      <c r="Q38" s="6"/>
    </row>
    <row r="39" spans="17:17" x14ac:dyDescent="0.25">
      <c r="Q39" s="6"/>
    </row>
  </sheetData>
  <dataValidations disablePrompts="1" count="1">
    <dataValidation type="list" allowBlank="1" showInputMessage="1" showErrorMessage="1" sqref="W17">
      <formula1>$W$3:$W$15</formula1>
    </dataValidation>
  </dataValidation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9"/>
  <sheetViews>
    <sheetView workbookViewId="0">
      <selection activeCell="Q23" sqref="Q23"/>
    </sheetView>
  </sheetViews>
  <sheetFormatPr defaultRowHeight="15" x14ac:dyDescent="0.25"/>
  <cols>
    <col min="2" max="2" width="11.28515625" bestFit="1" customWidth="1"/>
    <col min="3" max="3" width="5.140625" bestFit="1" customWidth="1"/>
    <col min="4" max="4" width="13.42578125" bestFit="1" customWidth="1"/>
    <col min="5" max="5" width="9.42578125" bestFit="1" customWidth="1"/>
    <col min="6" max="6" width="13.140625" bestFit="1" customWidth="1"/>
  </cols>
  <sheetData>
    <row r="2" spans="2:6" x14ac:dyDescent="0.25">
      <c r="B2" s="45" t="s">
        <v>7</v>
      </c>
      <c r="C2" s="45" t="s">
        <v>34</v>
      </c>
      <c r="D2" s="45" t="s">
        <v>119</v>
      </c>
      <c r="E2" s="45" t="s">
        <v>120</v>
      </c>
      <c r="F2" s="45" t="s">
        <v>121</v>
      </c>
    </row>
    <row r="3" spans="2:6" x14ac:dyDescent="0.25">
      <c r="B3">
        <v>0.8</v>
      </c>
      <c r="C3" s="7">
        <v>6.2046191012474941</v>
      </c>
      <c r="D3" s="1">
        <v>0.35</v>
      </c>
      <c r="E3" s="41">
        <v>0.7294081967213113</v>
      </c>
      <c r="F3" s="41">
        <f>D3-E3</f>
        <v>-0.37940819672131132</v>
      </c>
    </row>
    <row r="4" spans="2:6" x14ac:dyDescent="0.25">
      <c r="B4">
        <v>0.9</v>
      </c>
      <c r="C4" s="7">
        <v>6.9801964889034309</v>
      </c>
      <c r="D4" s="1">
        <v>0.5</v>
      </c>
      <c r="E4" s="41">
        <v>0.75654675000000005</v>
      </c>
      <c r="F4" s="41">
        <f t="shared" ref="F4:F19" si="0">D4-E4</f>
        <v>-0.25654675000000005</v>
      </c>
    </row>
    <row r="5" spans="2:6" x14ac:dyDescent="0.25">
      <c r="B5">
        <v>1</v>
      </c>
      <c r="C5" s="7">
        <v>7.7557738765593669</v>
      </c>
      <c r="D5" s="1">
        <v>0.62</v>
      </c>
      <c r="E5" s="41">
        <v>0.79301338116591913</v>
      </c>
      <c r="F5" s="41">
        <f t="shared" si="0"/>
        <v>-0.17301338116591913</v>
      </c>
    </row>
    <row r="6" spans="2:6" x14ac:dyDescent="0.25">
      <c r="B6">
        <v>1.1000000000000001</v>
      </c>
      <c r="C6" s="7">
        <v>8.5313512642153047</v>
      </c>
      <c r="D6" s="1">
        <v>0.68</v>
      </c>
      <c r="E6" s="41">
        <v>0.80508928600405694</v>
      </c>
      <c r="F6" s="41">
        <f t="shared" si="0"/>
        <v>-0.12508928600405689</v>
      </c>
    </row>
    <row r="7" spans="2:6" x14ac:dyDescent="0.25">
      <c r="B7">
        <v>1.2</v>
      </c>
      <c r="C7" s="7">
        <v>9.3069286518712406</v>
      </c>
      <c r="D7" s="1">
        <v>0.75</v>
      </c>
      <c r="E7" s="41">
        <v>0.82318010902896077</v>
      </c>
      <c r="F7" s="41">
        <f t="shared" si="0"/>
        <v>-7.3180109028960771E-2</v>
      </c>
    </row>
    <row r="8" spans="2:6" x14ac:dyDescent="0.25">
      <c r="B8">
        <v>1.3</v>
      </c>
      <c r="C8" s="7">
        <v>10.082506039527177</v>
      </c>
      <c r="D8" s="1">
        <v>0.79</v>
      </c>
      <c r="E8" s="41">
        <v>0.83526488986784153</v>
      </c>
      <c r="F8" s="41">
        <f t="shared" si="0"/>
        <v>-4.5264889867841496E-2</v>
      </c>
    </row>
    <row r="9" spans="2:6" x14ac:dyDescent="0.25">
      <c r="B9">
        <v>1.4</v>
      </c>
      <c r="C9" s="7">
        <v>10.858083427183114</v>
      </c>
      <c r="D9" s="1">
        <v>0.82</v>
      </c>
      <c r="E9" s="41">
        <v>0.84353109677419358</v>
      </c>
      <c r="F9" s="41">
        <f t="shared" si="0"/>
        <v>-2.3531096774193627E-2</v>
      </c>
    </row>
    <row r="10" spans="2:6" x14ac:dyDescent="0.25">
      <c r="B10">
        <v>1.5</v>
      </c>
      <c r="C10" s="7">
        <v>11.63366081483905</v>
      </c>
      <c r="D10" s="1">
        <v>0.85</v>
      </c>
      <c r="E10" s="41">
        <v>0.84921972151898728</v>
      </c>
      <c r="F10" s="41">
        <f t="shared" si="0"/>
        <v>7.8027848101269726E-4</v>
      </c>
    </row>
    <row r="11" spans="2:6" x14ac:dyDescent="0.25">
      <c r="B11">
        <v>1.6</v>
      </c>
      <c r="C11" s="7">
        <v>12.409238202494988</v>
      </c>
      <c r="D11" s="1">
        <v>0.86</v>
      </c>
      <c r="E11" s="41">
        <v>0.85308721495327089</v>
      </c>
      <c r="F11" s="41">
        <f t="shared" si="0"/>
        <v>6.9127850467290974E-3</v>
      </c>
    </row>
    <row r="12" spans="2:6" x14ac:dyDescent="0.25">
      <c r="B12">
        <v>1.7</v>
      </c>
      <c r="C12" s="7">
        <v>12.409238202494988</v>
      </c>
      <c r="D12" s="1">
        <v>0.86</v>
      </c>
      <c r="E12" s="41">
        <v>0.85308721495327089</v>
      </c>
      <c r="F12" s="41">
        <f t="shared" si="0"/>
        <v>6.9127850467290974E-3</v>
      </c>
    </row>
    <row r="13" spans="2:6" x14ac:dyDescent="0.25">
      <c r="B13">
        <v>1.8</v>
      </c>
      <c r="C13" s="7">
        <v>12.409238202494988</v>
      </c>
      <c r="D13" s="1">
        <v>0.86</v>
      </c>
      <c r="E13" s="41">
        <v>0.85308721495327089</v>
      </c>
      <c r="F13" s="41">
        <f t="shared" si="0"/>
        <v>6.9127850467290974E-3</v>
      </c>
    </row>
    <row r="14" spans="2:6" x14ac:dyDescent="0.25">
      <c r="B14">
        <v>1.9</v>
      </c>
      <c r="C14" s="7">
        <v>12.409238202494988</v>
      </c>
      <c r="D14" s="1">
        <v>0.86</v>
      </c>
      <c r="E14" s="41">
        <v>0.85308721495327089</v>
      </c>
      <c r="F14" s="41">
        <f t="shared" si="0"/>
        <v>6.9127850467290974E-3</v>
      </c>
    </row>
    <row r="15" spans="2:6" x14ac:dyDescent="0.25">
      <c r="B15">
        <v>2</v>
      </c>
      <c r="C15" s="7">
        <v>12.409238202494988</v>
      </c>
      <c r="D15" s="1">
        <v>0.86</v>
      </c>
      <c r="E15" s="41">
        <v>0.85308721495327089</v>
      </c>
      <c r="F15" s="41">
        <f t="shared" si="0"/>
        <v>6.9127850467290974E-3</v>
      </c>
    </row>
    <row r="16" spans="2:6" x14ac:dyDescent="0.25">
      <c r="B16">
        <v>2.1</v>
      </c>
      <c r="C16" s="7">
        <v>12.409238202494988</v>
      </c>
      <c r="D16" s="1">
        <v>0.86</v>
      </c>
      <c r="E16" s="41">
        <v>0.85308721495327089</v>
      </c>
      <c r="F16" s="41">
        <f t="shared" si="0"/>
        <v>6.9127850467290974E-3</v>
      </c>
    </row>
    <row r="17" spans="2:6" x14ac:dyDescent="0.25">
      <c r="B17">
        <v>2.2000000000000002</v>
      </c>
      <c r="C17" s="7">
        <v>12.409238202494988</v>
      </c>
      <c r="D17" s="1">
        <v>0.86</v>
      </c>
      <c r="E17" s="41">
        <v>0.85308721495327089</v>
      </c>
      <c r="F17" s="41">
        <f t="shared" si="0"/>
        <v>6.9127850467290974E-3</v>
      </c>
    </row>
    <row r="18" spans="2:6" x14ac:dyDescent="0.25">
      <c r="B18">
        <v>2.2999999999999998</v>
      </c>
      <c r="C18" s="7">
        <v>12.409238202494988</v>
      </c>
      <c r="D18" s="1">
        <v>0.86</v>
      </c>
      <c r="E18" s="41">
        <v>0.85308721495327089</v>
      </c>
      <c r="F18" s="41">
        <f t="shared" si="0"/>
        <v>6.9127850467290974E-3</v>
      </c>
    </row>
    <row r="19" spans="2:6" x14ac:dyDescent="0.25">
      <c r="B19">
        <v>2.4</v>
      </c>
      <c r="C19" s="7">
        <v>12.409238202494988</v>
      </c>
      <c r="D19" s="1">
        <v>0.86</v>
      </c>
      <c r="E19" s="41">
        <v>0.85308721495327089</v>
      </c>
      <c r="F19" s="41">
        <f t="shared" si="0"/>
        <v>6.9127850467290974E-3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Configuration Comparison</vt:lpstr>
      <vt:lpstr>A4VSO 500 Eff</vt:lpstr>
      <vt:lpstr>A4VSO 750 Eff</vt:lpstr>
      <vt:lpstr>A4VSO 1000 Eff</vt:lpstr>
      <vt:lpstr>CBM4000 Eff</vt:lpstr>
      <vt:lpstr>CBM5000 Eff</vt:lpstr>
      <vt:lpstr>Hydraulic System 500kw PDC</vt:lpstr>
      <vt:lpstr>Hydraulic System 500kw Stall</vt:lpstr>
      <vt:lpstr>Efficiency Norm to Test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TMayer</dc:creator>
  <cp:lastModifiedBy>TMayer</cp:lastModifiedBy>
  <dcterms:created xsi:type="dcterms:W3CDTF">2013-06-14T16:55:14Z</dcterms:created>
  <dcterms:modified xsi:type="dcterms:W3CDTF">2014-10-24T00:43:14Z</dcterms:modified>
</cp:coreProperties>
</file>